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trlProps/ctrlProp4.xml" ContentType="application/vnd.ms-excel.contro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Y:\05 - Statistik\1.Daten\01 BEVOELKERUNG\Bevölkerung - Strukturerhebung\2024\"/>
    </mc:Choice>
  </mc:AlternateContent>
  <xr:revisionPtr revIDLastSave="0" documentId="13_ncr:1_{BF6193CB-4BBF-4F73-843B-8C38BA4135AD}" xr6:coauthVersionLast="47" xr6:coauthVersionMax="47" xr10:uidLastSave="{00000000-0000-0000-0000-000000000000}"/>
  <workbookProtection lockStructure="1"/>
  <bookViews>
    <workbookView xWindow="28680" yWindow="-120" windowWidth="29040" windowHeight="17520" xr2:uid="{00000000-000D-0000-FFFF-FFFF00000000}"/>
  </bookViews>
  <sheets>
    <sheet name="Kantone" sheetId="28" r:id="rId1"/>
    <sheet name="Graubünden" sheetId="27" r:id="rId2"/>
    <sheet name="Uebersetzungen" sheetId="29" state="hidden" r:id="rId3"/>
  </sheets>
  <definedNames>
    <definedName name="_xlnm.Print_Area" localSheetId="1">Graubünden!$A$1:$Q$56</definedName>
    <definedName name="_xlnm.Print_Area" localSheetId="0">Kantone!$A$1:$P$49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7" i="27" l="1"/>
  <c r="B27" i="27"/>
  <c r="B28" i="27"/>
  <c r="B29" i="27"/>
  <c r="B30" i="27"/>
  <c r="B31" i="27"/>
  <c r="A32" i="27"/>
  <c r="B32" i="27"/>
  <c r="B33" i="27"/>
  <c r="B34" i="27"/>
  <c r="A35" i="27"/>
  <c r="B35" i="27"/>
  <c r="B36" i="27"/>
  <c r="B37" i="27"/>
  <c r="B38" i="27"/>
  <c r="B39" i="27"/>
  <c r="B40" i="27"/>
  <c r="B41" i="27"/>
  <c r="B42" i="27"/>
  <c r="B43" i="27"/>
  <c r="B44" i="27"/>
  <c r="B45" i="27"/>
  <c r="A46" i="27"/>
  <c r="B46" i="27"/>
  <c r="B47" i="27"/>
  <c r="B48" i="27"/>
  <c r="O13" i="27" l="1"/>
  <c r="M13" i="27"/>
  <c r="K13" i="27"/>
  <c r="I13" i="27"/>
  <c r="G13" i="27"/>
  <c r="C13" i="27"/>
  <c r="B26" i="27" l="1"/>
  <c r="B25" i="27"/>
  <c r="B24" i="27"/>
  <c r="B23" i="27"/>
  <c r="L14" i="27"/>
  <c r="K14" i="27"/>
  <c r="J14" i="27"/>
  <c r="I14" i="27"/>
  <c r="H14" i="27"/>
  <c r="G14" i="27"/>
  <c r="N13" i="28" l="1"/>
  <c r="L13" i="28"/>
  <c r="J13" i="28"/>
  <c r="H13" i="28"/>
  <c r="F13" i="28"/>
  <c r="D13" i="28"/>
  <c r="B13" i="28"/>
  <c r="I14" i="28"/>
  <c r="H14" i="28"/>
  <c r="G14" i="28"/>
  <c r="F14" i="28"/>
  <c r="E14" i="28"/>
  <c r="D14" i="28"/>
  <c r="B21" i="27" l="1"/>
  <c r="P14" i="27"/>
  <c r="O14" i="27"/>
  <c r="N14" i="27"/>
  <c r="M14" i="27"/>
  <c r="F14" i="27"/>
  <c r="E14" i="27"/>
  <c r="E13" i="27"/>
  <c r="O14" i="28" l="1"/>
  <c r="N14" i="28"/>
  <c r="M14" i="28"/>
  <c r="L14" i="28"/>
  <c r="K14" i="28"/>
  <c r="J14" i="28"/>
  <c r="A53" i="27" l="1"/>
  <c r="A52" i="27"/>
  <c r="A51" i="27"/>
  <c r="A50" i="27"/>
  <c r="A46" i="28"/>
  <c r="A45" i="28"/>
  <c r="A44" i="28"/>
  <c r="D14" i="27"/>
  <c r="C14" i="27"/>
  <c r="A10" i="27"/>
  <c r="A9" i="27"/>
  <c r="A9" i="28"/>
  <c r="A7" i="27"/>
  <c r="A7" i="28"/>
  <c r="A56" i="27"/>
  <c r="A55" i="27"/>
  <c r="B22" i="27"/>
  <c r="B20" i="27"/>
  <c r="B19" i="27"/>
  <c r="B18" i="27"/>
  <c r="B16" i="27"/>
  <c r="B17" i="27"/>
  <c r="A16" i="27"/>
  <c r="A22" i="27"/>
  <c r="A18" i="27"/>
  <c r="A15" i="27"/>
  <c r="C14" i="28"/>
  <c r="B14" i="28"/>
  <c r="A49" i="28" l="1"/>
  <c r="A48" i="28"/>
  <c r="A43" i="28"/>
  <c r="A41" i="28"/>
  <c r="A40" i="28"/>
  <c r="A39" i="28"/>
  <c r="A38" i="28"/>
  <c r="A37" i="28"/>
  <c r="A36" i="28"/>
  <c r="A35" i="28"/>
  <c r="A34" i="28"/>
  <c r="A33" i="28"/>
  <c r="A32" i="28"/>
  <c r="A31" i="28"/>
  <c r="A30" i="28"/>
  <c r="A29" i="28"/>
  <c r="A28" i="28"/>
  <c r="A27" i="28"/>
  <c r="A26" i="28"/>
  <c r="A25" i="28"/>
  <c r="A24" i="28"/>
  <c r="A23" i="28"/>
  <c r="A22" i="28"/>
  <c r="A21" i="28"/>
  <c r="A20" i="28"/>
  <c r="A19" i="28"/>
  <c r="A18" i="28"/>
  <c r="A17" i="28"/>
  <c r="A16" i="28"/>
  <c r="A15" i="28"/>
  <c r="A10" i="28"/>
</calcChain>
</file>

<file path=xl/sharedStrings.xml><?xml version="1.0" encoding="utf-8"?>
<sst xmlns="http://schemas.openxmlformats.org/spreadsheetml/2006/main" count="463" uniqueCount="341">
  <si>
    <t>Total</t>
  </si>
  <si>
    <t>Anzahl Personen</t>
  </si>
  <si>
    <t>Zürich</t>
  </si>
  <si>
    <t>Luzern</t>
  </si>
  <si>
    <t>Uri</t>
  </si>
  <si>
    <t>Schwyz</t>
  </si>
  <si>
    <t>Obwalden</t>
  </si>
  <si>
    <t>Nidwalden</t>
  </si>
  <si>
    <t>Glarus</t>
  </si>
  <si>
    <t>Zug</t>
  </si>
  <si>
    <t>Solothurn</t>
  </si>
  <si>
    <t>Basel-Stadt</t>
  </si>
  <si>
    <t>Basel-Landschaft</t>
  </si>
  <si>
    <t>Schaffhausen</t>
  </si>
  <si>
    <t>Appenzell Ausserrhoden</t>
  </si>
  <si>
    <t>Appenzell Innerrhoden</t>
  </si>
  <si>
    <t>St. Gallen</t>
  </si>
  <si>
    <t>Aargau</t>
  </si>
  <si>
    <t>Thurgau</t>
  </si>
  <si>
    <t>Jura</t>
  </si>
  <si>
    <t>(): Extrapolation aufgrund von 49 oder weniger Beobachtungen. Die Resultate sind mit grosser Vorsicht zu interpretieren.</t>
  </si>
  <si>
    <t>X: Extrapolation aufgrund von 4 oder weniger Beobachtungen. Die Resultate werden aus Gründen des Datenschutzes nicht publiziert.</t>
  </si>
  <si>
    <t>Die Grundgesamtheit der Strukturerhebung enthält alle Personen der ständigen Wohnbevölkerung ab vollendetem 15. Altersjahr, die in Privathaushalten leben.</t>
  </si>
  <si>
    <t>Aus der Grundgesamtheit ausgeschlossen wurden neben den Personen, die in Kollektivhaushalten leben, auch Diplomaten, internationale Funktionäre und deren Angehörige.</t>
  </si>
  <si>
    <t>Geschlecht</t>
  </si>
  <si>
    <t>Männer</t>
  </si>
  <si>
    <t>Frauen</t>
  </si>
  <si>
    <t>Alter</t>
  </si>
  <si>
    <t>Arbeitsmarktstatus</t>
  </si>
  <si>
    <t>Erwerbstätige</t>
  </si>
  <si>
    <t>Erwerbslose</t>
  </si>
  <si>
    <t>Nichterwerbspersonen</t>
  </si>
  <si>
    <t>Sozioprofessionelle Kategorien</t>
  </si>
  <si>
    <t>Oberstes Management</t>
  </si>
  <si>
    <t>Freie und gleichgestellte Berufe</t>
  </si>
  <si>
    <t>Andere Selbstständige</t>
  </si>
  <si>
    <t>Akademische Berufe und oberes Kader</t>
  </si>
  <si>
    <t>Intermediäre Berufe</t>
  </si>
  <si>
    <t>Qualifizierte nichtmanuelle Berufe</t>
  </si>
  <si>
    <t>Qualifizierte manuelle Berufe</t>
  </si>
  <si>
    <t>Ungelernte Angestellte und Arbeiter</t>
  </si>
  <si>
    <t>Lernende in dualer beruflicher Grundbildung (Lehrlinge)</t>
  </si>
  <si>
    <t>Nicht zuteilbare Erwerbstätige (fehlende oder unklare Basisdaten oder unplausible Kombination)</t>
  </si>
  <si>
    <t>Erwerbslose und Nichterwerbspersonen</t>
  </si>
  <si>
    <t>Höchste abgeschlossene Ausbildung</t>
  </si>
  <si>
    <t>Sekundarstufe II</t>
  </si>
  <si>
    <t>Tertiärstufe</t>
  </si>
  <si>
    <t>Quelle: BFS (Strukturerhebung)</t>
  </si>
  <si>
    <t>Bern</t>
  </si>
  <si>
    <t>Freiburg</t>
  </si>
  <si>
    <t>Graubünden</t>
  </si>
  <si>
    <t>Wallis</t>
  </si>
  <si>
    <t>Tessin</t>
  </si>
  <si>
    <t>Waadt</t>
  </si>
  <si>
    <t>Neuenburg</t>
  </si>
  <si>
    <t>Genf</t>
  </si>
  <si>
    <t>Tabelle</t>
  </si>
  <si>
    <t>Code</t>
  </si>
  <si>
    <t>DE</t>
  </si>
  <si>
    <t>RM</t>
  </si>
  <si>
    <t>IT</t>
  </si>
  <si>
    <t>Sprache</t>
  </si>
  <si>
    <t>T1</t>
  </si>
  <si>
    <t>&lt;Fachbereich&gt;</t>
  </si>
  <si>
    <t>Daten &amp; Statistik</t>
  </si>
  <si>
    <t>Datas &amp; Statistica</t>
  </si>
  <si>
    <t>Dati &amp; Statistica</t>
  </si>
  <si>
    <t>&lt;Titel&gt;</t>
  </si>
  <si>
    <t>&lt;SpaltenTitel_1&gt;</t>
  </si>
  <si>
    <t>&lt;SpaltenTitel_2&gt;</t>
  </si>
  <si>
    <t>&lt;SpaltenTitel_3&gt;</t>
  </si>
  <si>
    <t>&lt;Zeilentitel_1&gt;</t>
  </si>
  <si>
    <t>&lt;Zeilentitel_2&gt;</t>
  </si>
  <si>
    <t>&lt;Zeilentitel_3&gt;</t>
  </si>
  <si>
    <t>&lt;Zeilentitel_4&gt;</t>
  </si>
  <si>
    <t>&lt;Zeilentitel_5&gt;</t>
  </si>
  <si>
    <t>&lt;Zeilentitel_6&gt;</t>
  </si>
  <si>
    <t>&lt;Zeilentitel_7&gt;</t>
  </si>
  <si>
    <t>&lt;Zeilentitel_8&gt;</t>
  </si>
  <si>
    <t>&lt;Legende_1&gt;</t>
  </si>
  <si>
    <t>&lt;Legende_2&gt;</t>
  </si>
  <si>
    <t>&lt;Legende_3&gt;</t>
  </si>
  <si>
    <t>&lt;Legende_4&gt;</t>
  </si>
  <si>
    <t>&lt;Aktualisierung&gt;</t>
  </si>
  <si>
    <t>&lt;UTitel&gt;</t>
  </si>
  <si>
    <t>&lt;Zeilentitel_9&gt;</t>
  </si>
  <si>
    <t>&lt;Zeilentitel_10&gt;</t>
  </si>
  <si>
    <t>&lt;Zeilentitel_11&gt;</t>
  </si>
  <si>
    <t>&lt;Zeilentitel_12&gt;</t>
  </si>
  <si>
    <t>&lt;Zeilentitel_13&gt;</t>
  </si>
  <si>
    <t>&lt;Zeilentitel_14&gt;</t>
  </si>
  <si>
    <t>&lt;Zeilentitel_15&gt;</t>
  </si>
  <si>
    <t>&lt;Zeilentitel_16&gt;</t>
  </si>
  <si>
    <t>&lt;Zeilentitel_17&gt;</t>
  </si>
  <si>
    <t>&lt;Zeilentitel_18&gt;</t>
  </si>
  <si>
    <t>&lt;Zeilentitel_19&gt;</t>
  </si>
  <si>
    <t>&lt;Zeilentitel_20&gt;</t>
  </si>
  <si>
    <t>&lt;Zeilentitel_21&gt;</t>
  </si>
  <si>
    <t>&lt;Zeilentitel_22&gt;</t>
  </si>
  <si>
    <t>&lt;Zeilentitel_23&gt;</t>
  </si>
  <si>
    <t>&lt;Zeilentitel_24&gt;</t>
  </si>
  <si>
    <t>&lt;Zeilentitel_25&gt;</t>
  </si>
  <si>
    <t>&lt;Zeilentitel_26&gt;</t>
  </si>
  <si>
    <t>&lt;Zeilentitel_27&gt;</t>
  </si>
  <si>
    <t>&lt;Quelle_1&gt;</t>
  </si>
  <si>
    <t>T1-2</t>
  </si>
  <si>
    <t>T2</t>
  </si>
  <si>
    <t>&lt;T2Titel&gt;</t>
  </si>
  <si>
    <t>&lt;T2UTitel&gt;</t>
  </si>
  <si>
    <t>&lt;T2Zeilentitel_1&gt;</t>
  </si>
  <si>
    <t>&lt;T2Zeilentitel_2&gt;</t>
  </si>
  <si>
    <t>&lt;T2Zeilentitel_3&gt;</t>
  </si>
  <si>
    <t>&lt;T2Zeilentitel_4&gt;</t>
  </si>
  <si>
    <t>&lt;T2Zeilentitel_5&gt;</t>
  </si>
  <si>
    <t>&lt;T2Zeilentitel_6&gt;</t>
  </si>
  <si>
    <t>&lt;T2Zeilentitel_7&gt;</t>
  </si>
  <si>
    <t>&lt;SpaltenTitel_1.1&gt;</t>
  </si>
  <si>
    <t>&lt;SpaltenTitel_1.2&gt;</t>
  </si>
  <si>
    <t>&lt;T2Zeilentitel_2.1&gt;</t>
  </si>
  <si>
    <t>&lt;T2Zeilentitel_2.2&gt;</t>
  </si>
  <si>
    <t>&lt;T2Zeilentitel_3.1&gt;</t>
  </si>
  <si>
    <t>&lt;T2Zeilentitel_3.2&gt;</t>
  </si>
  <si>
    <t>&lt;T2Zeilentitel_4.1&gt;</t>
  </si>
  <si>
    <t>&lt;T2Zeilentitel_4.2&gt;</t>
  </si>
  <si>
    <t>&lt;T2Zeilentitel_5.1&gt;</t>
  </si>
  <si>
    <t>&lt;T2Zeilentitel_5.2&gt;</t>
  </si>
  <si>
    <t>&lt;T2Zeilentitel_7.1&gt;</t>
  </si>
  <si>
    <t>&lt;T2Zeilentitel_7.2&gt;</t>
  </si>
  <si>
    <t>&lt;T2Zeilentitel_7.3&gt;</t>
  </si>
  <si>
    <t>&lt;T2Zeilentitel_8&gt;</t>
  </si>
  <si>
    <t>&lt;T2Zeilentitel_3.3&gt;</t>
  </si>
  <si>
    <t>&lt;T2Zeilentitel_3.4&gt;</t>
  </si>
  <si>
    <t>&lt;T2Zeilentitel_7.4&gt;</t>
  </si>
  <si>
    <t>&lt;T2Zeilentitel_7.5&gt;</t>
  </si>
  <si>
    <t>&lt;T2Zeilentitel_7.6&gt;</t>
  </si>
  <si>
    <t>&lt;T2Zeilentitel_7.7&gt;</t>
  </si>
  <si>
    <t>&lt;T2Zeilentitel_7.8&gt;</t>
  </si>
  <si>
    <t>&lt;T2Zeilentitel_7.9&gt;</t>
  </si>
  <si>
    <t>&lt;T2Zeilentitel_7.10&gt;</t>
  </si>
  <si>
    <t>&lt;T2Zeilentitel_7.11&gt;</t>
  </si>
  <si>
    <t>&lt;T2Zeilentitel_8.1&gt;</t>
  </si>
  <si>
    <t>&lt;T2Zeilentitel_8.2&gt;</t>
  </si>
  <si>
    <t>&lt;T2Zeilentitel_8.3&gt;</t>
  </si>
  <si>
    <t>&lt;T2Aktualisierung&gt;</t>
  </si>
  <si>
    <t>Totale</t>
  </si>
  <si>
    <t>Numero di persone</t>
  </si>
  <si>
    <t>Fonte: UST - Rilevazione strutturale (RS)</t>
  </si>
  <si>
    <t>Zurigo</t>
  </si>
  <si>
    <t>Berna</t>
  </si>
  <si>
    <t>Lucerna</t>
  </si>
  <si>
    <t>Svitto</t>
  </si>
  <si>
    <t>Obvaldo</t>
  </si>
  <si>
    <t>Nidvaldo</t>
  </si>
  <si>
    <t>Glarona</t>
  </si>
  <si>
    <t>Zugo</t>
  </si>
  <si>
    <t>Friborgo</t>
  </si>
  <si>
    <t>Soletta</t>
  </si>
  <si>
    <t>Basilea Città</t>
  </si>
  <si>
    <t>Basilea Campagna</t>
  </si>
  <si>
    <t>Sciaffusa</t>
  </si>
  <si>
    <t>Appenzello Esterno</t>
  </si>
  <si>
    <t>Appenzello Interno</t>
  </si>
  <si>
    <t>San Gallo</t>
  </si>
  <si>
    <t>Grigioni</t>
  </si>
  <si>
    <t>Argovia</t>
  </si>
  <si>
    <t>Turgovia</t>
  </si>
  <si>
    <t>Ticino</t>
  </si>
  <si>
    <t>Vaud</t>
  </si>
  <si>
    <t>Vallese</t>
  </si>
  <si>
    <t>Neuchâtel</t>
  </si>
  <si>
    <t>Ginevra</t>
  </si>
  <si>
    <t>Giura</t>
  </si>
  <si>
    <t>Sesso</t>
  </si>
  <si>
    <t>Età</t>
  </si>
  <si>
    <t>Uomini</t>
  </si>
  <si>
    <t>Donne</t>
  </si>
  <si>
    <t>Occupati</t>
  </si>
  <si>
    <t>Disoccupati</t>
  </si>
  <si>
    <t>Persone senza attività professionale</t>
  </si>
  <si>
    <t>Management superiore</t>
  </si>
  <si>
    <t>Professioni liberali ed equiparate</t>
  </si>
  <si>
    <t>Altri indipendenti</t>
  </si>
  <si>
    <t>Professioni accademiche e quadri superiori</t>
  </si>
  <si>
    <t>Professioni intermediarie</t>
  </si>
  <si>
    <t>Professioni qualificate non manuali</t>
  </si>
  <si>
    <t>Professioni qualificate manuali</t>
  </si>
  <si>
    <t>Impiegati e operai non qualificati</t>
  </si>
  <si>
    <t>Persone in formazione professionale di base duale (apprendisti)</t>
  </si>
  <si>
    <t>Occupati non attribuibili (dati di base mancanti)</t>
  </si>
  <si>
    <t>Disoccupati e persone senza attività professionale</t>
  </si>
  <si>
    <t>Senza formazione postobbligatoria</t>
  </si>
  <si>
    <t>Livello secondario II</t>
  </si>
  <si>
    <t>Livello terziario</t>
  </si>
  <si>
    <t>Sviz</t>
  </si>
  <si>
    <t>Soloturn</t>
  </si>
  <si>
    <t>Friburg</t>
  </si>
  <si>
    <t>Glaruna</t>
  </si>
  <si>
    <t>Schaffusa</t>
  </si>
  <si>
    <t>Sutsilvania</t>
  </si>
  <si>
    <t>Sursilvania</t>
  </si>
  <si>
    <t>Turitg</t>
  </si>
  <si>
    <t>Basilea-Citad</t>
  </si>
  <si>
    <t>Basilea-Champagna</t>
  </si>
  <si>
    <t>Appenzell Dadora</t>
  </si>
  <si>
    <t>Appenzell Dadens</t>
  </si>
  <si>
    <t>Son Gagl</t>
  </si>
  <si>
    <t>Genevra</t>
  </si>
  <si>
    <t>Vallais</t>
  </si>
  <si>
    <t>Vad</t>
  </si>
  <si>
    <t>Grischun</t>
  </si>
  <si>
    <t>Umens</t>
  </si>
  <si>
    <t>Dunnas</t>
  </si>
  <si>
    <t>Gender</t>
  </si>
  <si>
    <t>Vegliadetgna</t>
  </si>
  <si>
    <t>Status dal martgà da lavur</t>
  </si>
  <si>
    <t>Categorias socioprofessiunalas</t>
  </si>
  <si>
    <t>La pli auta scolaziun terminada</t>
  </si>
  <si>
    <t>Professiuns libras ed egualas</t>
  </si>
  <si>
    <t>Autras persunas independentas</t>
  </si>
  <si>
    <t>Professiuns academicas e cader superiur</t>
  </si>
  <si>
    <t>professiuns intermediaras</t>
  </si>
  <si>
    <t>Professiuns betg manualas qualifitgadas</t>
  </si>
  <si>
    <t>Professiuns manualas qualifitgadas</t>
  </si>
  <si>
    <t>Emploiads e lavurants betg emprendids</t>
  </si>
  <si>
    <t>Emprendistas ed emprendists en ina furmaziun fundamentala professiunala dubla (emprendists)</t>
  </si>
  <si>
    <t>Persunas cun activitad da gudogn che n'èn betg attribuiblas (datas da basa mancantas u betg cleras u ina cumbinaziun inclausibla)</t>
  </si>
  <si>
    <t>Persunas senza activitad da gudogn e persunas senza activitad da gudogn</t>
  </si>
  <si>
    <t>Stgalim secundar II</t>
  </si>
  <si>
    <t>Stgalim terziar</t>
  </si>
  <si>
    <t>Management suprem</t>
  </si>
  <si>
    <t>Persunas senza activitad da gudogn</t>
  </si>
  <si>
    <t>Persunas cun activitad da gudogn</t>
  </si>
  <si>
    <t>Dumber da persunas</t>
  </si>
  <si>
    <t>Funtauna: UST (enquista da structura)</t>
  </si>
  <si>
    <t>&lt;SpaltenTitel_4&gt;</t>
  </si>
  <si>
    <t>Staatsangehörigkeit</t>
  </si>
  <si>
    <t>Naziunalitad</t>
  </si>
  <si>
    <t>Cittadinanza</t>
  </si>
  <si>
    <t>Status sul mercato del lavoro</t>
  </si>
  <si>
    <t>Categorie socioprofessionali</t>
  </si>
  <si>
    <t>Istruzione di massimo livello</t>
  </si>
  <si>
    <t>15-24</t>
  </si>
  <si>
    <t>65 und älter</t>
  </si>
  <si>
    <t>65 e dapli</t>
  </si>
  <si>
    <t>65 e più</t>
  </si>
  <si>
    <t>Svizzera</t>
  </si>
  <si>
    <t>Svizra</t>
  </si>
  <si>
    <t>Schweiz</t>
  </si>
  <si>
    <t>&lt;T2Zeilentitel_5.3&gt;</t>
  </si>
  <si>
    <t>Ohne nachobligatorische Aubildung</t>
  </si>
  <si>
    <t>Senza furmaziun postobligatorica</t>
  </si>
  <si>
    <t>&lt;SpaltenTitel_5&gt;</t>
  </si>
  <si>
    <t>&lt;SpaltenTitel_6&gt;</t>
  </si>
  <si>
    <t>&lt;SpaltenTitel_7&gt;</t>
  </si>
  <si>
    <t>&lt;SpaltenTitel_8&gt;</t>
  </si>
  <si>
    <t>Ständige Wohnbevölkerung nach Hauptsprachen und Kanton</t>
  </si>
  <si>
    <t>Ständige Wohnbevölkerung ab 15 Jahren</t>
  </si>
  <si>
    <t>Populaziun residenta permanenta a partir da 15 onns</t>
  </si>
  <si>
    <t>Popolazione residente permanente di 15 anni e più</t>
  </si>
  <si>
    <t>Deutsch (oder Schweizerdeutsch)</t>
  </si>
  <si>
    <t>Französisch (oder Patois Romand)</t>
  </si>
  <si>
    <t>Italienisch (oder Tessiner/Bündner-italienischer Dialekt)</t>
  </si>
  <si>
    <t>Rätoromanisch</t>
  </si>
  <si>
    <t>Englisch</t>
  </si>
  <si>
    <t>Andere Sprache/n</t>
  </si>
  <si>
    <t>Tedesco (o svizzero tedesco)</t>
  </si>
  <si>
    <t>Romanico</t>
  </si>
  <si>
    <t>Inglese</t>
  </si>
  <si>
    <t>Altra lingua</t>
  </si>
  <si>
    <t>Francese (o patois romando)</t>
  </si>
  <si>
    <t>Italiano (o dialetto ticinese/grigionese)</t>
  </si>
  <si>
    <t>Tudestg (u Tudestg svizzer)</t>
  </si>
  <si>
    <t>Franzos (u Patois Romand)</t>
  </si>
  <si>
    <t>Talian (u dialect tessinais/grischun)</t>
  </si>
  <si>
    <t>Autra lingua</t>
  </si>
  <si>
    <t>Englais</t>
  </si>
  <si>
    <t>Rumantsch</t>
  </si>
  <si>
    <t>Populaziun residenta permanenta tenor linguas principalas e tenor il chantun</t>
  </si>
  <si>
    <t>Popolazione residente permanente per lingua principale e cantone</t>
  </si>
  <si>
    <t>Vertrauens- intervall: 
± (in %)</t>
  </si>
  <si>
    <t>Interval da confidenza: 
± (en %)</t>
  </si>
  <si>
    <t>Intervallo di confidenza: 
± (in %)</t>
  </si>
  <si>
    <t>Ständige Wohnbevölkerung nach Hauptsprachen in Graubünden</t>
  </si>
  <si>
    <t>Populaziun residenta permanenta tenor linguas principalas en il Grischun</t>
  </si>
  <si>
    <t>Popolazione residente permanente per lingua principale nei Grigioni</t>
  </si>
  <si>
    <t>Migrationsstatus</t>
  </si>
  <si>
    <t>Status migratorio</t>
  </si>
  <si>
    <t>Status da migraziun</t>
  </si>
  <si>
    <t>45-64</t>
  </si>
  <si>
    <t>25-44</t>
  </si>
  <si>
    <t>&lt;T2Zeilentitel_4.3&gt;</t>
  </si>
  <si>
    <t>&lt;T2Zeilentitel_4.4&gt;</t>
  </si>
  <si>
    <t>EU und EFTA</t>
  </si>
  <si>
    <t>Anderer europäischer Staat</t>
  </si>
  <si>
    <t>Andere Staaten</t>
  </si>
  <si>
    <t>Staatsangehörigkeit unbekannt</t>
  </si>
  <si>
    <t>&lt;T2Zeilentitel_4.5&gt;</t>
  </si>
  <si>
    <t>UE ed AECL</t>
  </si>
  <si>
    <t>In auter pajais europeic</t>
  </si>
  <si>
    <t>Auters stadis</t>
  </si>
  <si>
    <t>Naziunalitad n'è betg enconuschenta</t>
  </si>
  <si>
    <t>UE e EFTA</t>
  </si>
  <si>
    <t>Altro paese europeo</t>
  </si>
  <si>
    <t>Altri paesi</t>
  </si>
  <si>
    <t>Nazionalità sconosciuta</t>
  </si>
  <si>
    <t>&lt;Legende_5&gt;</t>
  </si>
  <si>
    <t>Die Befragten konnten mehrere Hauptsprachen nennen.</t>
  </si>
  <si>
    <t>Gli intervistati potevano indicare più lingue principali.</t>
  </si>
  <si>
    <t>Las persunas interrogadas han pudì inditgar pliras linguas principalas.</t>
  </si>
  <si>
    <t>&lt;T2Zeilentitel_6.3&gt;</t>
  </si>
  <si>
    <t>&lt;T2Zeilentitel_6.2&gt;</t>
  </si>
  <si>
    <t>&lt;T2Zeilentitel_6.1&gt;</t>
  </si>
  <si>
    <t>&lt;T2Zeilentitel_5.4&gt;</t>
  </si>
  <si>
    <t>&lt;T2Zeilentitel_5.5&gt;</t>
  </si>
  <si>
    <t>Schweizer/innen ohne Migrationshintergrund</t>
  </si>
  <si>
    <t>Schweizer/innen mit Migrationshintergrund</t>
  </si>
  <si>
    <t>Ausländer/innen der ersten Generation</t>
  </si>
  <si>
    <t>Ausländer/innen der zweiten und höheren Generation</t>
  </si>
  <si>
    <t>Migrationshintergrund unbekannt</t>
  </si>
  <si>
    <t>Svizzers senza retroterra da migraziun</t>
  </si>
  <si>
    <t>Svizzeri/e senza un passato migratorio</t>
  </si>
  <si>
    <t>Svizzers cun ina migraziun</t>
  </si>
  <si>
    <t>Svizzeri/e con un passato migratorio</t>
  </si>
  <si>
    <t>Persunas estras da l'emprima generaziun</t>
  </si>
  <si>
    <t>Stranieri/e di prima generazione</t>
  </si>
  <si>
    <t>Persunas estras da la segunda generaziun e da l'emprima</t>
  </si>
  <si>
    <t>Stranieri/e di seconda generazione e più</t>
  </si>
  <si>
    <t>La migraziun n'è betg enconuschenta</t>
  </si>
  <si>
    <t>Passato migratorio sconosciuto</t>
  </si>
  <si>
    <t>(): Extrapolaziun sin basa da 49 u damain observaziuns. Ils resultats ston vegnir interpretads cun gronda precauziun.</t>
  </si>
  <si>
    <t>(): Estrapolazione basata su 49 osservazioni o meno. I risultati devono essere interpretati con molta cautela.</t>
  </si>
  <si>
    <t>X: Extrapolaziun pervia da 4 u damain observaziuns. Per motivs da la protecziun da datas na vegnan ils resultats betg publitgads.</t>
  </si>
  <si>
    <t>X: Estrapolazione basata su 4 o meno osservazioni. I risultati non sono pubblicati per motivi di protezione dei dati.</t>
  </si>
  <si>
    <t>La survista da basa da l'enquista da structura cumpiglia tut las persunas da la populaziun residenta permanenta a partir da 15 onns che vivan en chasadas privatas.</t>
  </si>
  <si>
    <t>La popolazione dell'indagine sulla struttura comprende tutte le persone della popolazione residente permanente di età pari o superiore ai 15 anni che vivono in famiglie.</t>
  </si>
  <si>
    <t>Exclus da la totalitad fundamentala èn vegnids ultra da las persunas che vivan en chasadas collectivas er diplomats, funcziunaris internaziunals e lur confamigliars.</t>
  </si>
  <si>
    <t>Oltre alle persone che vivono in economie domestiche collettive, sono stati esclusi i diplomatici, i funzionari internazionali e i loro familiari.</t>
  </si>
  <si>
    <t>X</t>
  </si>
  <si>
    <t>Letztmals aktualisiert am: 05.03.2026</t>
  </si>
  <si>
    <t>Ultima actualisaziun: 05.03.2026</t>
  </si>
  <si>
    <t>Ulimo aggiornamento: 05.03.2026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</si>
</sst>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 * #,##0_ ;_ * \-#,##0_ ;_ * &quot;-&quot;??_ ;_ @_ "/>
    <numFmt numFmtId="166" formatCode="_-* #,##0.00\ _€_-;\-* #,##0.00\ _€_-;_-* &quot;-&quot;??\ _€_-;_-@_-"/>
    <numFmt numFmtId="167" formatCode="0.0"/>
    <numFmt numFmtId="168" formatCode="\(0.0\)"/>
    <numFmt numFmtId="169" formatCode="#\'##0"/>
    <numFmt numFmtId="170" formatCode="* #,###"/>
    <numFmt numFmtId="171" formatCode="\(##0\)"/>
    <numFmt numFmtId="172" formatCode="\(#\'##0\)"/>
  </numFmts>
  <fonts count="19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name val="Arial"/>
      <family val="2"/>
    </font>
    <font>
      <sz val="14"/>
      <color rgb="FFFF0000"/>
      <name val="Arial"/>
      <family val="2"/>
    </font>
    <font>
      <b/>
      <sz val="10"/>
      <color indexed="8"/>
      <name val="Arial Narrow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theme="0"/>
      <name val="Arial"/>
      <family val="2"/>
    </font>
    <font>
      <sz val="12"/>
      <name val="Arial"/>
      <family val="2"/>
    </font>
    <font>
      <sz val="8"/>
      <color rgb="FF000000"/>
      <name val="Segoe UI"/>
      <family val="2"/>
    </font>
    <font>
      <sz val="10"/>
      <color rgb="FF4C4C4C"/>
      <name val="Arial"/>
      <family val="2"/>
    </font>
    <font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4" fillId="0" borderId="0"/>
    <xf numFmtId="0" fontId="5" fillId="0" borderId="0"/>
    <xf numFmtId="0" fontId="3" fillId="0" borderId="0"/>
    <xf numFmtId="0" fontId="3" fillId="0" borderId="0"/>
    <xf numFmtId="0" fontId="6" fillId="0" borderId="0"/>
    <xf numFmtId="0" fontId="1" fillId="0" borderId="0"/>
    <xf numFmtId="0" fontId="3" fillId="0" borderId="0"/>
  </cellStyleXfs>
  <cellXfs count="128">
    <xf numFmtId="0" fontId="0" fillId="0" borderId="0" xfId="0"/>
    <xf numFmtId="0" fontId="3" fillId="4" borderId="0" xfId="0" applyFont="1" applyFill="1"/>
    <xf numFmtId="0" fontId="8" fillId="4" borderId="0" xfId="0" applyFont="1" applyFill="1"/>
    <xf numFmtId="0" fontId="9" fillId="3" borderId="0" xfId="0" applyFont="1" applyFill="1" applyAlignment="1">
      <alignment horizontal="left" vertical="top"/>
    </xf>
    <xf numFmtId="0" fontId="10" fillId="3" borderId="0" xfId="0" applyFont="1" applyFill="1" applyAlignment="1">
      <alignment horizontal="left" vertical="top"/>
    </xf>
    <xf numFmtId="165" fontId="10" fillId="3" borderId="0" xfId="1" applyNumberFormat="1" applyFont="1" applyFill="1" applyBorder="1" applyAlignment="1" applyProtection="1">
      <alignment horizontal="left" vertical="top"/>
    </xf>
    <xf numFmtId="0" fontId="2" fillId="0" borderId="0" xfId="0" applyFont="1"/>
    <xf numFmtId="0" fontId="12" fillId="3" borderId="0" xfId="0" applyFont="1" applyFill="1" applyAlignment="1">
      <alignment horizontal="left" vertical="center"/>
    </xf>
    <xf numFmtId="0" fontId="2" fillId="2" borderId="0" xfId="0" applyFont="1" applyFill="1"/>
    <xf numFmtId="3" fontId="2" fillId="0" borderId="0" xfId="0" applyNumberFormat="1" applyFont="1"/>
    <xf numFmtId="169" fontId="2" fillId="0" borderId="0" xfId="0" applyNumberFormat="1" applyFont="1"/>
    <xf numFmtId="3" fontId="3" fillId="5" borderId="4" xfId="3" applyNumberFormat="1" applyFont="1" applyFill="1" applyBorder="1" applyAlignment="1" applyProtection="1">
      <alignment horizontal="right" vertical="center" wrapText="1"/>
    </xf>
    <xf numFmtId="0" fontId="0" fillId="4" borderId="0" xfId="0" applyFill="1"/>
    <xf numFmtId="0" fontId="15" fillId="4" borderId="0" xfId="0" applyFont="1" applyFill="1"/>
    <xf numFmtId="0" fontId="12" fillId="3" borderId="3" xfId="0" applyFont="1" applyFill="1" applyBorder="1" applyAlignment="1">
      <alignment horizontal="left" vertical="center"/>
    </xf>
    <xf numFmtId="0" fontId="14" fillId="6" borderId="0" xfId="0" applyFont="1" applyFill="1" applyBorder="1" applyAlignment="1">
      <alignment horizontal="left" vertical="top" wrapText="1"/>
    </xf>
    <xf numFmtId="0" fontId="2" fillId="7" borderId="0" xfId="0" applyFont="1" applyFill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12" fillId="3" borderId="0" xfId="0" applyFont="1" applyFill="1" applyBorder="1" applyAlignment="1">
      <alignment horizontal="left" vertical="center" wrapText="1"/>
    </xf>
    <xf numFmtId="0" fontId="2" fillId="8" borderId="0" xfId="0" applyFont="1" applyFill="1" applyBorder="1" applyAlignment="1">
      <alignment wrapText="1"/>
    </xf>
    <xf numFmtId="0" fontId="2" fillId="0" borderId="0" xfId="0" applyFont="1" applyBorder="1" applyAlignment="1">
      <alignment horizontal="left" vertical="top" wrapText="1"/>
    </xf>
    <xf numFmtId="0" fontId="7" fillId="7" borderId="0" xfId="0" applyFont="1" applyFill="1" applyBorder="1" applyAlignment="1">
      <alignment horizontal="left" vertical="top" wrapText="1"/>
    </xf>
    <xf numFmtId="0" fontId="2" fillId="7" borderId="0" xfId="0" applyFont="1" applyFill="1" applyBorder="1" applyAlignment="1" applyProtection="1">
      <alignment horizontal="left" vertical="top" wrapText="1"/>
      <protection locked="0"/>
    </xf>
    <xf numFmtId="0" fontId="2" fillId="8" borderId="0" xfId="0" applyFont="1" applyFill="1" applyBorder="1" applyAlignment="1">
      <alignment horizontal="left" vertical="top" wrapText="1"/>
    </xf>
    <xf numFmtId="0" fontId="17" fillId="0" borderId="0" xfId="0" applyFont="1" applyBorder="1" applyAlignment="1">
      <alignment wrapText="1"/>
    </xf>
    <xf numFmtId="0" fontId="2" fillId="0" borderId="0" xfId="0" applyFont="1" applyBorder="1"/>
    <xf numFmtId="169" fontId="3" fillId="4" borderId="0" xfId="1" applyNumberFormat="1" applyFont="1" applyFill="1" applyBorder="1" applyAlignment="1" applyProtection="1">
      <alignment horizontal="right" vertical="center" wrapText="1"/>
    </xf>
    <xf numFmtId="167" fontId="3" fillId="4" borderId="0" xfId="1" applyNumberFormat="1" applyFont="1" applyFill="1" applyBorder="1" applyAlignment="1" applyProtection="1">
      <alignment horizontal="right" vertical="center" wrapText="1"/>
    </xf>
    <xf numFmtId="1" fontId="3" fillId="4" borderId="0" xfId="1" applyNumberFormat="1" applyFont="1" applyFill="1" applyBorder="1" applyAlignment="1" applyProtection="1">
      <alignment horizontal="right" vertical="center" wrapText="1"/>
    </xf>
    <xf numFmtId="0" fontId="13" fillId="3" borderId="19" xfId="0" applyFont="1" applyFill="1" applyBorder="1" applyAlignment="1">
      <alignment horizontal="left" vertical="center" wrapText="1"/>
    </xf>
    <xf numFmtId="0" fontId="13" fillId="3" borderId="18" xfId="0" applyFont="1" applyFill="1" applyBorder="1" applyAlignment="1">
      <alignment horizontal="left" vertical="center" wrapText="1"/>
    </xf>
    <xf numFmtId="0" fontId="2" fillId="0" borderId="20" xfId="0" applyFont="1" applyBorder="1"/>
    <xf numFmtId="0" fontId="13" fillId="3" borderId="9" xfId="0" applyFont="1" applyFill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top"/>
    </xf>
    <xf numFmtId="0" fontId="2" fillId="0" borderId="9" xfId="0" applyFont="1" applyBorder="1"/>
    <xf numFmtId="0" fontId="2" fillId="0" borderId="10" xfId="0" applyFont="1" applyBorder="1"/>
    <xf numFmtId="0" fontId="8" fillId="4" borderId="0" xfId="0" applyFont="1" applyFill="1" applyAlignment="1">
      <alignment horizontal="left" vertical="top" wrapText="1"/>
    </xf>
    <xf numFmtId="0" fontId="12" fillId="3" borderId="0" xfId="0" applyNumberFormat="1" applyFont="1" applyFill="1" applyBorder="1" applyAlignment="1" applyProtection="1">
      <alignment horizontal="left" vertical="center"/>
    </xf>
    <xf numFmtId="0" fontId="8" fillId="4" borderId="0" xfId="0" applyFont="1" applyFill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13" fillId="3" borderId="12" xfId="0" applyFont="1" applyFill="1" applyBorder="1" applyAlignment="1">
      <alignment horizontal="left" vertical="center" wrapText="1"/>
    </xf>
    <xf numFmtId="0" fontId="12" fillId="3" borderId="21" xfId="0" applyFont="1" applyFill="1" applyBorder="1" applyAlignment="1">
      <alignment horizontal="left" vertical="center" wrapText="1"/>
    </xf>
    <xf numFmtId="3" fontId="3" fillId="5" borderId="21" xfId="3" applyNumberFormat="1" applyFont="1" applyFill="1" applyBorder="1" applyAlignment="1" applyProtection="1">
      <alignment horizontal="left" vertical="center" wrapText="1"/>
    </xf>
    <xf numFmtId="0" fontId="12" fillId="3" borderId="24" xfId="0" applyFont="1" applyFill="1" applyBorder="1" applyAlignment="1">
      <alignment horizontal="left" vertical="center" wrapText="1"/>
    </xf>
    <xf numFmtId="0" fontId="12" fillId="4" borderId="21" xfId="1" applyNumberFormat="1" applyFont="1" applyFill="1" applyBorder="1" applyAlignment="1" applyProtection="1">
      <alignment horizontal="right" vertical="top" wrapText="1"/>
    </xf>
    <xf numFmtId="0" fontId="12" fillId="4" borderId="0" xfId="1" applyNumberFormat="1" applyFont="1" applyFill="1" applyBorder="1" applyAlignment="1" applyProtection="1">
      <alignment horizontal="right" vertical="top" wrapText="1"/>
    </xf>
    <xf numFmtId="0" fontId="12" fillId="3" borderId="30" xfId="0" applyFont="1" applyFill="1" applyBorder="1" applyAlignment="1">
      <alignment horizontal="left" vertical="center" wrapText="1"/>
    </xf>
    <xf numFmtId="0" fontId="12" fillId="3" borderId="25" xfId="0" applyFont="1" applyFill="1" applyBorder="1" applyAlignment="1">
      <alignment horizontal="left" vertical="center" wrapText="1"/>
    </xf>
    <xf numFmtId="0" fontId="12" fillId="3" borderId="22" xfId="0" applyFont="1" applyFill="1" applyBorder="1" applyAlignment="1">
      <alignment horizontal="left" vertical="center" wrapText="1"/>
    </xf>
    <xf numFmtId="0" fontId="12" fillId="3" borderId="6" xfId="0" applyFont="1" applyFill="1" applyBorder="1" applyAlignment="1">
      <alignment horizontal="left" vertical="center" wrapText="1"/>
    </xf>
    <xf numFmtId="0" fontId="12" fillId="3" borderId="7" xfId="0" applyFont="1" applyFill="1" applyBorder="1" applyAlignment="1">
      <alignment horizontal="left" vertical="center" wrapText="1"/>
    </xf>
    <xf numFmtId="0" fontId="12" fillId="4" borderId="28" xfId="1" applyNumberFormat="1" applyFont="1" applyFill="1" applyBorder="1" applyAlignment="1" applyProtection="1">
      <alignment horizontal="right" vertical="top" wrapText="1"/>
    </xf>
    <xf numFmtId="0" fontId="12" fillId="4" borderId="25" xfId="1" applyNumberFormat="1" applyFont="1" applyFill="1" applyBorder="1" applyAlignment="1" applyProtection="1">
      <alignment horizontal="right" vertical="top" wrapText="1"/>
    </xf>
    <xf numFmtId="0" fontId="12" fillId="4" borderId="26" xfId="1" applyNumberFormat="1" applyFont="1" applyFill="1" applyBorder="1" applyAlignment="1" applyProtection="1">
      <alignment horizontal="right" vertical="top" wrapText="1"/>
    </xf>
    <xf numFmtId="0" fontId="12" fillId="4" borderId="29" xfId="1" applyNumberFormat="1" applyFont="1" applyFill="1" applyBorder="1" applyAlignment="1" applyProtection="1">
      <alignment horizontal="right" vertical="top" wrapText="1"/>
    </xf>
    <xf numFmtId="0" fontId="12" fillId="4" borderId="27" xfId="1" applyNumberFormat="1" applyFont="1" applyFill="1" applyBorder="1" applyAlignment="1" applyProtection="1">
      <alignment horizontal="right" vertical="top" wrapText="1"/>
    </xf>
    <xf numFmtId="0" fontId="12" fillId="4" borderId="17" xfId="1" applyNumberFormat="1" applyFont="1" applyFill="1" applyBorder="1" applyAlignment="1" applyProtection="1">
      <alignment horizontal="right" vertical="top" wrapText="1"/>
    </xf>
    <xf numFmtId="0" fontId="12" fillId="4" borderId="31" xfId="1" applyNumberFormat="1" applyFont="1" applyFill="1" applyBorder="1" applyAlignment="1" applyProtection="1">
      <alignment horizontal="right" vertical="top" wrapText="1"/>
    </xf>
    <xf numFmtId="3" fontId="3" fillId="5" borderId="6" xfId="3" applyNumberFormat="1" applyFont="1" applyFill="1" applyBorder="1" applyAlignment="1" applyProtection="1">
      <alignment horizontal="right" vertical="center" wrapText="1"/>
    </xf>
    <xf numFmtId="167" fontId="3" fillId="5" borderId="32" xfId="3" applyNumberFormat="1" applyFont="1" applyFill="1" applyBorder="1" applyAlignment="1" applyProtection="1">
      <alignment horizontal="right" vertical="center" wrapText="1"/>
    </xf>
    <xf numFmtId="167" fontId="3" fillId="5" borderId="35" xfId="3" applyNumberFormat="1" applyFont="1" applyFill="1" applyBorder="1" applyAlignment="1" applyProtection="1">
      <alignment horizontal="right" vertical="center" wrapText="1"/>
    </xf>
    <xf numFmtId="0" fontId="13" fillId="3" borderId="5" xfId="0" applyFont="1" applyFill="1" applyBorder="1" applyAlignment="1">
      <alignment horizontal="center" vertical="top" wrapText="1"/>
    </xf>
    <xf numFmtId="0" fontId="13" fillId="3" borderId="11" xfId="0" applyFont="1" applyFill="1" applyBorder="1" applyAlignment="1">
      <alignment horizontal="center" vertical="top" wrapText="1"/>
    </xf>
    <xf numFmtId="0" fontId="8" fillId="4" borderId="0" xfId="0" applyFont="1" applyFill="1" applyAlignment="1">
      <alignment horizontal="left" vertical="top" wrapText="1"/>
    </xf>
    <xf numFmtId="0" fontId="13" fillId="3" borderId="2" xfId="0" applyFont="1" applyFill="1" applyBorder="1" applyAlignment="1">
      <alignment horizontal="center" vertical="top" wrapText="1"/>
    </xf>
    <xf numFmtId="0" fontId="13" fillId="3" borderId="17" xfId="0" applyFont="1" applyFill="1" applyBorder="1" applyAlignment="1">
      <alignment horizontal="center" vertical="top" wrapText="1"/>
    </xf>
    <xf numFmtId="0" fontId="13" fillId="5" borderId="15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5" borderId="16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/>
    </xf>
    <xf numFmtId="0" fontId="9" fillId="5" borderId="13" xfId="0" applyFont="1" applyFill="1" applyBorder="1" applyAlignment="1">
      <alignment horizontal="center"/>
    </xf>
    <xf numFmtId="0" fontId="9" fillId="5" borderId="14" xfId="0" applyFont="1" applyFill="1" applyBorder="1" applyAlignment="1">
      <alignment horizontal="center"/>
    </xf>
    <xf numFmtId="0" fontId="12" fillId="4" borderId="32" xfId="1" applyNumberFormat="1" applyFont="1" applyFill="1" applyBorder="1" applyAlignment="1" applyProtection="1">
      <alignment horizontal="right" vertical="top" wrapText="1"/>
    </xf>
    <xf numFmtId="0" fontId="12" fillId="4" borderId="40" xfId="1" applyNumberFormat="1" applyFont="1" applyFill="1" applyBorder="1" applyAlignment="1" applyProtection="1">
      <alignment horizontal="right" vertical="top" wrapText="1"/>
    </xf>
    <xf numFmtId="0" fontId="12" fillId="4" borderId="4" xfId="1" applyNumberFormat="1" applyFont="1" applyFill="1" applyBorder="1" applyAlignment="1" applyProtection="1">
      <alignment horizontal="right" vertical="top" wrapText="1"/>
    </xf>
    <xf numFmtId="0" fontId="12" fillId="4" borderId="35" xfId="1" applyNumberFormat="1" applyFont="1" applyFill="1" applyBorder="1" applyAlignment="1" applyProtection="1">
      <alignment horizontal="right" vertical="top" wrapText="1"/>
    </xf>
    <xf numFmtId="0" fontId="13" fillId="5" borderId="41" xfId="0" applyFont="1" applyFill="1" applyBorder="1" applyAlignment="1">
      <alignment horizontal="center" vertical="center" wrapText="1"/>
    </xf>
    <xf numFmtId="0" fontId="13" fillId="5" borderId="42" xfId="0" applyFont="1" applyFill="1" applyBorder="1" applyAlignment="1">
      <alignment horizontal="center" vertical="center" wrapText="1"/>
    </xf>
    <xf numFmtId="170" fontId="11" fillId="4" borderId="25" xfId="3" applyNumberFormat="1" applyFont="1" applyFill="1" applyBorder="1" applyAlignment="1" applyProtection="1">
      <alignment horizontal="right" vertical="center" wrapText="1"/>
    </xf>
    <xf numFmtId="167" fontId="11" fillId="4" borderId="28" xfId="3" applyNumberFormat="1" applyFont="1" applyFill="1" applyBorder="1" applyAlignment="1" applyProtection="1">
      <alignment horizontal="right" vertical="center" wrapText="1"/>
    </xf>
    <xf numFmtId="170" fontId="11" fillId="4" borderId="29" xfId="3" applyNumberFormat="1" applyFont="1" applyFill="1" applyBorder="1" applyAlignment="1" applyProtection="1">
      <alignment horizontal="right" vertical="center" wrapText="1"/>
    </xf>
    <xf numFmtId="167" fontId="11" fillId="4" borderId="26" xfId="3" applyNumberFormat="1" applyFont="1" applyFill="1" applyBorder="1" applyAlignment="1" applyProtection="1">
      <alignment horizontal="right" vertical="center" wrapText="1"/>
    </xf>
    <xf numFmtId="170" fontId="11" fillId="4" borderId="26" xfId="3" applyNumberFormat="1" applyFont="1" applyFill="1" applyBorder="1" applyAlignment="1" applyProtection="1">
      <alignment horizontal="right" vertical="center" wrapText="1"/>
    </xf>
    <xf numFmtId="167" fontId="11" fillId="4" borderId="34" xfId="3" applyNumberFormat="1" applyFont="1" applyFill="1" applyBorder="1" applyAlignment="1" applyProtection="1">
      <alignment horizontal="right" vertical="center" wrapText="1"/>
    </xf>
    <xf numFmtId="3" fontId="3" fillId="4" borderId="6" xfId="3" applyNumberFormat="1" applyFont="1" applyFill="1" applyBorder="1" applyAlignment="1" applyProtection="1">
      <alignment horizontal="right" vertical="center" wrapText="1"/>
    </xf>
    <xf numFmtId="167" fontId="3" fillId="4" borderId="32" xfId="3" applyNumberFormat="1" applyFont="1" applyFill="1" applyBorder="1" applyAlignment="1" applyProtection="1">
      <alignment horizontal="right" vertical="center" wrapText="1"/>
    </xf>
    <xf numFmtId="3" fontId="3" fillId="4" borderId="4" xfId="3" applyNumberFormat="1" applyFont="1" applyFill="1" applyBorder="1" applyAlignment="1" applyProtection="1">
      <alignment horizontal="right" vertical="center" wrapText="1"/>
    </xf>
    <xf numFmtId="167" fontId="3" fillId="4" borderId="0" xfId="3" applyNumberFormat="1" applyFont="1" applyFill="1" applyBorder="1" applyAlignment="1" applyProtection="1">
      <alignment horizontal="right" vertical="center" wrapText="1"/>
    </xf>
    <xf numFmtId="3" fontId="3" fillId="4" borderId="0" xfId="3" applyNumberFormat="1" applyFont="1" applyFill="1" applyBorder="1" applyAlignment="1" applyProtection="1">
      <alignment horizontal="right" vertical="center" wrapText="1"/>
    </xf>
    <xf numFmtId="167" fontId="3" fillId="4" borderId="35" xfId="3" applyNumberFormat="1" applyFont="1" applyFill="1" applyBorder="1" applyAlignment="1" applyProtection="1">
      <alignment horizontal="right" vertical="center" wrapText="1"/>
    </xf>
    <xf numFmtId="172" fontId="3" fillId="4" borderId="4" xfId="3" applyNumberFormat="1" applyFont="1" applyFill="1" applyBorder="1" applyAlignment="1" applyProtection="1">
      <alignment horizontal="right" vertical="center" wrapText="1"/>
    </xf>
    <xf numFmtId="168" fontId="3" fillId="4" borderId="0" xfId="3" applyNumberFormat="1" applyFont="1" applyFill="1" applyBorder="1" applyAlignment="1" applyProtection="1">
      <alignment horizontal="right" vertical="center" wrapText="1"/>
    </xf>
    <xf numFmtId="171" fontId="3" fillId="4" borderId="4" xfId="3" applyNumberFormat="1" applyFont="1" applyFill="1" applyBorder="1" applyAlignment="1" applyProtection="1">
      <alignment horizontal="right" vertical="center" wrapText="1"/>
    </xf>
    <xf numFmtId="168" fontId="3" fillId="4" borderId="32" xfId="3" applyNumberFormat="1" applyFont="1" applyFill="1" applyBorder="1" applyAlignment="1" applyProtection="1">
      <alignment horizontal="right" vertical="center" wrapText="1"/>
    </xf>
    <xf numFmtId="171" fontId="3" fillId="4" borderId="0" xfId="3" applyNumberFormat="1" applyFont="1" applyFill="1" applyBorder="1" applyAlignment="1" applyProtection="1">
      <alignment horizontal="right" vertical="center" wrapText="1"/>
    </xf>
    <xf numFmtId="172" fontId="3" fillId="4" borderId="0" xfId="3" applyNumberFormat="1" applyFont="1" applyFill="1" applyBorder="1" applyAlignment="1" applyProtection="1">
      <alignment horizontal="right" vertical="center" wrapText="1"/>
    </xf>
    <xf numFmtId="168" fontId="3" fillId="4" borderId="35" xfId="3" applyNumberFormat="1" applyFont="1" applyFill="1" applyBorder="1" applyAlignment="1" applyProtection="1">
      <alignment horizontal="right" vertical="center" wrapText="1"/>
    </xf>
    <xf numFmtId="167" fontId="3" fillId="5" borderId="0" xfId="3" applyNumberFormat="1" applyFont="1" applyFill="1" applyBorder="1" applyAlignment="1" applyProtection="1">
      <alignment horizontal="right" vertical="center" wrapText="1"/>
    </xf>
    <xf numFmtId="3" fontId="3" fillId="5" borderId="0" xfId="3" applyNumberFormat="1" applyFont="1" applyFill="1" applyBorder="1" applyAlignment="1" applyProtection="1">
      <alignment horizontal="right" vertical="center" wrapText="1"/>
    </xf>
    <xf numFmtId="3" fontId="3" fillId="4" borderId="7" xfId="3" applyNumberFormat="1" applyFont="1" applyFill="1" applyBorder="1" applyAlignment="1" applyProtection="1">
      <alignment horizontal="right" vertical="center" wrapText="1"/>
    </xf>
    <xf numFmtId="167" fontId="3" fillId="4" borderId="33" xfId="3" applyNumberFormat="1" applyFont="1" applyFill="1" applyBorder="1" applyAlignment="1" applyProtection="1">
      <alignment horizontal="right" vertical="center" wrapText="1"/>
    </xf>
    <xf numFmtId="3" fontId="3" fillId="4" borderId="8" xfId="3" applyNumberFormat="1" applyFont="1" applyFill="1" applyBorder="1" applyAlignment="1" applyProtection="1">
      <alignment horizontal="right" vertical="center" wrapText="1"/>
    </xf>
    <xf numFmtId="167" fontId="3" fillId="4" borderId="39" xfId="3" applyNumberFormat="1" applyFont="1" applyFill="1" applyBorder="1" applyAlignment="1" applyProtection="1">
      <alignment horizontal="right" vertical="center" wrapText="1"/>
    </xf>
    <xf numFmtId="172" fontId="3" fillId="4" borderId="39" xfId="3" applyNumberFormat="1" applyFont="1" applyFill="1" applyBorder="1" applyAlignment="1" applyProtection="1">
      <alignment horizontal="right" vertical="center" wrapText="1"/>
    </xf>
    <xf numFmtId="168" fontId="3" fillId="4" borderId="33" xfId="3" applyNumberFormat="1" applyFont="1" applyFill="1" applyBorder="1" applyAlignment="1" applyProtection="1">
      <alignment horizontal="right" vertical="center" wrapText="1"/>
    </xf>
    <xf numFmtId="172" fontId="3" fillId="4" borderId="8" xfId="3" applyNumberFormat="1" applyFont="1" applyFill="1" applyBorder="1" applyAlignment="1" applyProtection="1">
      <alignment horizontal="right" vertical="center" wrapText="1"/>
    </xf>
    <xf numFmtId="167" fontId="3" fillId="4" borderId="36" xfId="3" applyNumberFormat="1" applyFont="1" applyFill="1" applyBorder="1" applyAlignment="1" applyProtection="1">
      <alignment horizontal="right" vertical="center" wrapText="1"/>
    </xf>
    <xf numFmtId="3" fontId="3" fillId="4" borderId="5" xfId="3" applyNumberFormat="1" applyFont="1" applyFill="1" applyBorder="1" applyAlignment="1" applyProtection="1">
      <alignment horizontal="right" vertical="center" wrapText="1"/>
    </xf>
    <xf numFmtId="167" fontId="3" fillId="4" borderId="5" xfId="3" applyNumberFormat="1" applyFont="1" applyFill="1" applyBorder="1" applyAlignment="1" applyProtection="1">
      <alignment horizontal="right" vertical="center" wrapText="1"/>
    </xf>
    <xf numFmtId="172" fontId="3" fillId="4" borderId="6" xfId="3" applyNumberFormat="1" applyFont="1" applyFill="1" applyBorder="1" applyAlignment="1" applyProtection="1">
      <alignment horizontal="right" vertical="center" wrapText="1"/>
    </xf>
    <xf numFmtId="171" fontId="3" fillId="4" borderId="6" xfId="3" applyNumberFormat="1" applyFont="1" applyFill="1" applyBorder="1" applyAlignment="1" applyProtection="1">
      <alignment horizontal="right" vertical="center" wrapText="1"/>
    </xf>
    <xf numFmtId="3" fontId="3" fillId="4" borderId="39" xfId="3" applyNumberFormat="1" applyFont="1" applyFill="1" applyBorder="1" applyAlignment="1" applyProtection="1">
      <alignment horizontal="right" vertical="center" wrapText="1"/>
    </xf>
    <xf numFmtId="3" fontId="3" fillId="4" borderId="25" xfId="3" applyNumberFormat="1" applyFont="1" applyFill="1" applyBorder="1" applyAlignment="1" applyProtection="1">
      <alignment horizontal="right" vertical="center" wrapText="1"/>
    </xf>
    <xf numFmtId="167" fontId="3" fillId="4" borderId="28" xfId="3" applyNumberFormat="1" applyFont="1" applyFill="1" applyBorder="1" applyAlignment="1" applyProtection="1">
      <alignment horizontal="right" vertical="center" wrapText="1"/>
    </xf>
    <xf numFmtId="3" fontId="3" fillId="4" borderId="29" xfId="3" applyNumberFormat="1" applyFont="1" applyFill="1" applyBorder="1" applyAlignment="1" applyProtection="1">
      <alignment horizontal="right" vertical="center" wrapText="1"/>
    </xf>
    <xf numFmtId="167" fontId="3" fillId="4" borderId="26" xfId="3" applyNumberFormat="1" applyFont="1" applyFill="1" applyBorder="1" applyAlignment="1" applyProtection="1">
      <alignment horizontal="right" vertical="center" wrapText="1"/>
    </xf>
    <xf numFmtId="172" fontId="3" fillId="4" borderId="29" xfId="3" applyNumberFormat="1" applyFont="1" applyFill="1" applyBorder="1" applyAlignment="1" applyProtection="1">
      <alignment horizontal="right" vertical="center" wrapText="1"/>
    </xf>
    <xf numFmtId="168" fontId="3" fillId="4" borderId="28" xfId="3" applyNumberFormat="1" applyFont="1" applyFill="1" applyBorder="1" applyAlignment="1" applyProtection="1">
      <alignment horizontal="right" vertical="center" wrapText="1"/>
    </xf>
    <xf numFmtId="3" fontId="3" fillId="4" borderId="26" xfId="3" applyNumberFormat="1" applyFont="1" applyFill="1" applyBorder="1" applyAlignment="1" applyProtection="1">
      <alignment horizontal="right" vertical="center" wrapText="1"/>
    </xf>
    <xf numFmtId="167" fontId="3" fillId="4" borderId="34" xfId="3" applyNumberFormat="1" applyFont="1" applyFill="1" applyBorder="1" applyAlignment="1" applyProtection="1">
      <alignment horizontal="right" vertical="center" wrapText="1"/>
    </xf>
    <xf numFmtId="3" fontId="3" fillId="4" borderId="22" xfId="3" applyNumberFormat="1" applyFont="1" applyFill="1" applyBorder="1" applyAlignment="1" applyProtection="1">
      <alignment horizontal="right" vertical="center" wrapText="1"/>
    </xf>
    <xf numFmtId="167" fontId="3" fillId="4" borderId="37" xfId="3" applyNumberFormat="1" applyFont="1" applyFill="1" applyBorder="1" applyAlignment="1" applyProtection="1">
      <alignment horizontal="right" vertical="center" wrapText="1"/>
    </xf>
    <xf numFmtId="3" fontId="3" fillId="4" borderId="23" xfId="3" applyNumberFormat="1" applyFont="1" applyFill="1" applyBorder="1" applyAlignment="1" applyProtection="1">
      <alignment horizontal="right" vertical="center" wrapText="1"/>
    </xf>
    <xf numFmtId="172" fontId="3" fillId="4" borderId="23" xfId="3" applyNumberFormat="1" applyFont="1" applyFill="1" applyBorder="1" applyAlignment="1" applyProtection="1">
      <alignment horizontal="right" vertical="center" wrapText="1"/>
    </xf>
    <xf numFmtId="168" fontId="3" fillId="4" borderId="37" xfId="3" applyNumberFormat="1" applyFont="1" applyFill="1" applyBorder="1" applyAlignment="1" applyProtection="1">
      <alignment horizontal="right" vertical="center" wrapText="1"/>
    </xf>
    <xf numFmtId="167" fontId="3" fillId="4" borderId="38" xfId="3" applyNumberFormat="1" applyFont="1" applyFill="1" applyBorder="1" applyAlignment="1" applyProtection="1">
      <alignment horizontal="right" vertical="center" wrapText="1"/>
    </xf>
    <xf numFmtId="171" fontId="3" fillId="4" borderId="29" xfId="3" applyNumberFormat="1" applyFont="1" applyFill="1" applyBorder="1" applyAlignment="1" applyProtection="1">
      <alignment horizontal="right" vertical="center" wrapText="1"/>
    </xf>
  </cellXfs>
  <cellStyles count="11">
    <cellStyle name="Komma" xfId="1" builtinId="3"/>
    <cellStyle name="Komma 2" xfId="2" xr:uid="{00000000-0005-0000-0000-000001000000}"/>
    <cellStyle name="Komma 3" xfId="3" xr:uid="{00000000-0005-0000-0000-000002000000}"/>
    <cellStyle name="Normale 2" xfId="10" xr:uid="{00000000-0005-0000-0000-000003000000}"/>
    <cellStyle name="Standard" xfId="0" builtinId="0"/>
    <cellStyle name="Standard 2" xfId="4" xr:uid="{00000000-0005-0000-0000-000005000000}"/>
    <cellStyle name="Standard 2 2" xfId="7" xr:uid="{00000000-0005-0000-0000-000006000000}"/>
    <cellStyle name="Standard 3" xfId="5" xr:uid="{00000000-0005-0000-0000-000007000000}"/>
    <cellStyle name="Standard 4" xfId="6" xr:uid="{00000000-0005-0000-0000-000008000000}"/>
    <cellStyle name="Standard 4 2" xfId="8" xr:uid="{00000000-0005-0000-0000-000009000000}"/>
    <cellStyle name="Standard 5" xfId="9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444500</xdr:colOff>
      <xdr:row>5</xdr:row>
      <xdr:rowOff>32777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5</xdr:col>
      <xdr:colOff>476250</xdr:colOff>
      <xdr:row>0</xdr:row>
      <xdr:rowOff>19050</xdr:rowOff>
    </xdr:from>
    <xdr:to>
      <xdr:col>8</xdr:col>
      <xdr:colOff>648314</xdr:colOff>
      <xdr:row>4</xdr:row>
      <xdr:rowOff>145523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000625" y="19050"/>
          <a:ext cx="2515214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5" name="Option Button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6" name="Option Button 2" hidden="1">
                <a:extLst>
                  <a:ext uri="{63B3BB69-23CF-44E3-9099-C40C66FF867C}">
                    <a14:compatExt spid="_x0000_s1026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7" name="Option Button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168275</xdr:colOff>
      <xdr:row>5</xdr:row>
      <xdr:rowOff>32777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2</xdr:col>
      <xdr:colOff>200025</xdr:colOff>
      <xdr:row>0</xdr:row>
      <xdr:rowOff>19050</xdr:rowOff>
    </xdr:from>
    <xdr:to>
      <xdr:col>5</xdr:col>
      <xdr:colOff>638789</xdr:colOff>
      <xdr:row>4</xdr:row>
      <xdr:rowOff>145523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5000625" y="19050"/>
          <a:ext cx="2610464" cy="888473"/>
          <a:chOff x="5105400" y="38100"/>
          <a:chExt cx="2400914" cy="888473"/>
        </a:xfrm>
        <a:solidFill>
          <a:srgbClr val="00B0F0"/>
        </a:solidFill>
      </xdr:grpSpPr>
      <xdr:sp macro="" textlink="">
        <xdr:nvSpPr>
          <xdr:cNvPr id="4" name="Rechteck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/>
        </xdr:nvSpPr>
        <xdr:spPr>
          <a:xfrm>
            <a:off x="51054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49" name="Option Button 1" hidden="1">
                <a:extLst>
                  <a:ext uri="{63B3BB69-23CF-44E3-9099-C40C66FF867C}">
                    <a14:compatExt spid="_x0000_s2049"/>
                  </a:ext>
                  <a:ext uri="{FF2B5EF4-FFF2-40B4-BE49-F238E27FC236}">
                    <a16:creationId xmlns:a16="http://schemas.microsoft.com/office/drawing/2014/main" id="{00000000-0008-0000-0100-000001080000}"/>
                  </a:ext>
                </a:extLst>
              </xdr:cNvPr>
              <xdr:cNvSpPr/>
            </xdr:nvSpPr>
            <xdr:spPr bwMode="auto">
              <a:xfrm>
                <a:off x="5762625" y="304800"/>
                <a:ext cx="104775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50" name="Option Button 2" hidden="1">
                <a:extLst>
                  <a:ext uri="{63B3BB69-23CF-44E3-9099-C40C66FF867C}">
                    <a14:compatExt spid="_x0000_s2050"/>
                  </a:ext>
                  <a:ext uri="{FF2B5EF4-FFF2-40B4-BE49-F238E27FC236}">
                    <a16:creationId xmlns:a16="http://schemas.microsoft.com/office/drawing/2014/main" id="{00000000-0008-0000-0100-000002080000}"/>
                  </a:ext>
                </a:extLst>
              </xdr:cNvPr>
              <xdr:cNvSpPr/>
            </xdr:nvSpPr>
            <xdr:spPr bwMode="auto">
              <a:xfrm>
                <a:off x="5762625" y="495300"/>
                <a:ext cx="1409700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51" name="Option Button 3" hidden="1">
                <a:extLst>
                  <a:ext uri="{63B3BB69-23CF-44E3-9099-C40C66FF867C}">
                    <a14:compatExt spid="_x0000_s2051"/>
                  </a:ext>
                  <a:ext uri="{FF2B5EF4-FFF2-40B4-BE49-F238E27FC236}">
                    <a16:creationId xmlns:a16="http://schemas.microsoft.com/office/drawing/2014/main" id="{00000000-0008-0000-0100-000003080000}"/>
                  </a:ext>
                </a:extLst>
              </xdr:cNvPr>
              <xdr:cNvSpPr/>
            </xdr:nvSpPr>
            <xdr:spPr bwMode="auto">
              <a:xfrm>
                <a:off x="5762625" y="657225"/>
                <a:ext cx="104775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3"/>
  <sheetViews>
    <sheetView showGridLines="0" tabSelected="1" zoomScaleNormal="100" workbookViewId="0"/>
  </sheetViews>
  <sheetFormatPr baseColWidth="10" defaultRowHeight="12.75" x14ac:dyDescent="0.2"/>
  <cols>
    <col min="1" max="1" width="18.375" style="6" customWidth="1"/>
    <col min="2" max="15" width="10.25" style="6" customWidth="1"/>
    <col min="16" max="16384" width="11" style="6"/>
  </cols>
  <sheetData>
    <row r="1" spans="1:20" s="1" customFormat="1" x14ac:dyDescent="0.2"/>
    <row r="2" spans="1:20" s="1" customFormat="1" ht="15.75" x14ac:dyDescent="0.25">
      <c r="B2" s="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20" s="1" customFormat="1" ht="15.75" x14ac:dyDescent="0.25">
      <c r="B3" s="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20" s="1" customFormat="1" ht="15.75" x14ac:dyDescent="0.25">
      <c r="B4" s="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20" s="1" customFormat="1" x14ac:dyDescent="0.2"/>
    <row r="6" spans="1:20" s="1" customFormat="1" x14ac:dyDescent="0.2"/>
    <row r="7" spans="1:20" s="1" customFormat="1" ht="15.75" customHeight="1" x14ac:dyDescent="0.2">
      <c r="A7" s="64" t="str">
        <f>VLOOKUP("&lt;Fachbereich&gt;",Uebersetzungen!$B$3:$E$32,Uebersetzungen!$B$2+1,FALSE)</f>
        <v>Daten &amp; Statistik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13"/>
      <c r="N7" s="13"/>
      <c r="O7" s="13"/>
      <c r="P7" s="13"/>
      <c r="Q7" s="13"/>
    </row>
    <row r="8" spans="1:20" s="1" customFormat="1" x14ac:dyDescent="0.2"/>
    <row r="9" spans="1:20" ht="18" x14ac:dyDescent="0.2">
      <c r="A9" s="3" t="str">
        <f>VLOOKUP("&lt;Titel&gt;",Uebersetzungen!$B$3:$E$32,Uebersetzungen!$B$2+1,FALSE)</f>
        <v>Ständige Wohnbevölkerung nach Hauptsprachen und Kanton</v>
      </c>
      <c r="B9" s="4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20" x14ac:dyDescent="0.2">
      <c r="A10" s="7" t="str">
        <f>VLOOKUP("&lt;UTitel&gt;",Uebersetzungen!$B$3:$E$32,Uebersetzungen!$B$2+1,FALSE)</f>
        <v>Ständige Wohnbevölkerung ab 15 Jahren</v>
      </c>
      <c r="B10" s="4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R10" s="26"/>
      <c r="S10" s="26"/>
      <c r="T10" s="26"/>
    </row>
    <row r="11" spans="1:20" ht="13.5" thickBot="1" x14ac:dyDescent="0.25">
      <c r="A11" s="7"/>
      <c r="B11" s="4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R11" s="26"/>
      <c r="S11" s="26"/>
      <c r="T11" s="26"/>
    </row>
    <row r="12" spans="1:20" ht="18" x14ac:dyDescent="0.25">
      <c r="A12" s="8"/>
      <c r="B12" s="70">
        <v>2024</v>
      </c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2"/>
      <c r="R12" s="26"/>
      <c r="S12" s="26"/>
      <c r="T12" s="26"/>
    </row>
    <row r="13" spans="1:20" ht="37.5" customHeight="1" x14ac:dyDescent="0.2">
      <c r="A13" s="62"/>
      <c r="B13" s="67" t="str">
        <f>VLOOKUP("&lt;SpaltenTitel_1&gt;",Uebersetzungen!$B$3:$E$338,Uebersetzungen!$B$2+1,FALSE)</f>
        <v>Total</v>
      </c>
      <c r="C13" s="68"/>
      <c r="D13" s="77" t="str">
        <f>VLOOKUP("&lt;SpaltenTitel_2&gt;",Uebersetzungen!$B$3:$E$338,Uebersetzungen!$B$2+1,FALSE)</f>
        <v>Deutsch (oder Schweizerdeutsch)</v>
      </c>
      <c r="E13" s="78"/>
      <c r="F13" s="77" t="str">
        <f>VLOOKUP("&lt;SpaltenTitel_3&gt;",Uebersetzungen!$B$3:$E$338,Uebersetzungen!$B$2+1,FALSE)</f>
        <v>Französisch (oder Patois Romand)</v>
      </c>
      <c r="G13" s="78"/>
      <c r="H13" s="77" t="str">
        <f>VLOOKUP("&lt;SpaltenTitel_4&gt;",Uebersetzungen!$B$3:$E$338,Uebersetzungen!$B$2+1,FALSE)</f>
        <v>Italienisch (oder Tessiner/Bündner-italienischer Dialekt)</v>
      </c>
      <c r="I13" s="78"/>
      <c r="J13" s="77" t="str">
        <f>VLOOKUP("&lt;SpaltenTitel_5&gt;",Uebersetzungen!$B$3:$E$338,Uebersetzungen!$B$2+1,FALSE)</f>
        <v>Rätoromanisch</v>
      </c>
      <c r="K13" s="78"/>
      <c r="L13" s="68" t="str">
        <f>VLOOKUP("&lt;SpaltenTitel_6&gt;",Uebersetzungen!$B$3:$E$338,Uebersetzungen!$B$2+1,FALSE)</f>
        <v>Englisch</v>
      </c>
      <c r="M13" s="68"/>
      <c r="N13" s="68" t="str">
        <f>VLOOKUP("&lt;SpaltenTitel_7&gt;",Uebersetzungen!$B$3:$E$338,Uebersetzungen!$B$2+1,FALSE)</f>
        <v>Andere Sprache/n</v>
      </c>
      <c r="O13" s="69"/>
      <c r="R13" s="26"/>
      <c r="S13" s="26"/>
      <c r="T13" s="26"/>
    </row>
    <row r="14" spans="1:20" ht="39" thickBot="1" x14ac:dyDescent="0.25">
      <c r="A14" s="63"/>
      <c r="B14" s="45" t="str">
        <f>VLOOKUP("&lt;SpaltenTitel_1.1&gt;",Uebersetzungen!$B$3:$E$32,Uebersetzungen!$B$2+1,FALSE)</f>
        <v>Anzahl Personen</v>
      </c>
      <c r="C14" s="73" t="str">
        <f>VLOOKUP("&lt;SpaltenTitel_1.2&gt;",Uebersetzungen!$B$3:$E$32,Uebersetzungen!$B$2+1,FALSE)</f>
        <v>Vertrauens- intervall: 
± (in %)</v>
      </c>
      <c r="D14" s="46" t="str">
        <f>VLOOKUP("&lt;SpaltenTitel_1.1&gt;",Uebersetzungen!$B$3:$E$32,Uebersetzungen!$B$2+1,FALSE)</f>
        <v>Anzahl Personen</v>
      </c>
      <c r="E14" s="73" t="str">
        <f>VLOOKUP("&lt;SpaltenTitel_1.2&gt;",Uebersetzungen!$B$3:$E$32,Uebersetzungen!$B$2+1,FALSE)</f>
        <v>Vertrauens- intervall: 
± (in %)</v>
      </c>
      <c r="F14" s="46" t="str">
        <f>VLOOKUP("&lt;SpaltenTitel_1.1&gt;",Uebersetzungen!$B$3:$E$32,Uebersetzungen!$B$2+1,FALSE)</f>
        <v>Anzahl Personen</v>
      </c>
      <c r="G14" s="73" t="str">
        <f>VLOOKUP("&lt;SpaltenTitel_1.2&gt;",Uebersetzungen!$B$3:$E$32,Uebersetzungen!$B$2+1,FALSE)</f>
        <v>Vertrauens- intervall: 
± (in %)</v>
      </c>
      <c r="H14" s="46" t="str">
        <f>VLOOKUP("&lt;SpaltenTitel_1.1&gt;",Uebersetzungen!$B$3:$E$32,Uebersetzungen!$B$2+1,FALSE)</f>
        <v>Anzahl Personen</v>
      </c>
      <c r="I14" s="74" t="str">
        <f>VLOOKUP("&lt;SpaltenTitel_1.2&gt;",Uebersetzungen!$B$3:$E$32,Uebersetzungen!$B$2+1,FALSE)</f>
        <v>Vertrauens- intervall: 
± (in %)</v>
      </c>
      <c r="J14" s="75" t="str">
        <f>VLOOKUP("&lt;SpaltenTitel_1.1&gt;",Uebersetzungen!$B$3:$E$32,Uebersetzungen!$B$2+1,FALSE)</f>
        <v>Anzahl Personen</v>
      </c>
      <c r="K14" s="74" t="str">
        <f>VLOOKUP("&lt;SpaltenTitel_1.2&gt;",Uebersetzungen!$B$3:$E$32,Uebersetzungen!$B$2+1,FALSE)</f>
        <v>Vertrauens- intervall: 
± (in %)</v>
      </c>
      <c r="L14" s="75" t="str">
        <f>VLOOKUP("&lt;SpaltenTitel_1.1&gt;",Uebersetzungen!$B$3:$E$32,Uebersetzungen!$B$2+1,FALSE)</f>
        <v>Anzahl Personen</v>
      </c>
      <c r="M14" s="73" t="str">
        <f>VLOOKUP("&lt;SpaltenTitel_1.2&gt;",Uebersetzungen!$B$3:$E$32,Uebersetzungen!$B$2+1,FALSE)</f>
        <v>Vertrauens- intervall: 
± (in %)</v>
      </c>
      <c r="N14" s="46" t="str">
        <f>VLOOKUP("&lt;SpaltenTitel_1.1&gt;",Uebersetzungen!$B$3:$E$32,Uebersetzungen!$B$2+1,FALSE)</f>
        <v>Anzahl Personen</v>
      </c>
      <c r="O14" s="76" t="str">
        <f>VLOOKUP("&lt;SpaltenTitel_1.2&gt;",Uebersetzungen!$B$3:$E$32,Uebersetzungen!$B$2+1,FALSE)</f>
        <v>Vertrauens- intervall: 
± (in %)</v>
      </c>
      <c r="R14" s="26"/>
      <c r="S14" s="26"/>
      <c r="T14" s="26"/>
    </row>
    <row r="15" spans="1:20" x14ac:dyDescent="0.2">
      <c r="A15" s="41" t="str">
        <f>VLOOKUP("&lt;Zeilentitel_1&gt;",Uebersetzungen!$B$3:$E$32,Uebersetzungen!$B$2+1,FALSE)</f>
        <v>Total</v>
      </c>
      <c r="B15" s="79">
        <v>7507509.000000027</v>
      </c>
      <c r="C15" s="80">
        <v>5.6008377682885288E-2</v>
      </c>
      <c r="D15" s="81">
        <v>4578661.0622614175</v>
      </c>
      <c r="E15" s="82">
        <v>0.23353348129782048</v>
      </c>
      <c r="F15" s="81">
        <v>1677632.4506688523</v>
      </c>
      <c r="G15" s="80">
        <v>0.45224314852197545</v>
      </c>
      <c r="H15" s="83">
        <v>605387.07153985789</v>
      </c>
      <c r="I15" s="80">
        <v>1.0407412818724548</v>
      </c>
      <c r="J15" s="81">
        <v>33948.02752532273</v>
      </c>
      <c r="K15" s="82">
        <v>5.833059933286953</v>
      </c>
      <c r="L15" s="81">
        <v>552364.43382671487</v>
      </c>
      <c r="M15" s="80">
        <v>1.4034327146315104</v>
      </c>
      <c r="N15" s="81">
        <v>1463219.6150493112</v>
      </c>
      <c r="O15" s="84">
        <v>0.83420368689889424</v>
      </c>
      <c r="R15" s="26"/>
      <c r="S15" s="26"/>
      <c r="T15" s="26"/>
    </row>
    <row r="16" spans="1:20" x14ac:dyDescent="0.2">
      <c r="A16" s="42" t="str">
        <f>VLOOKUP("&lt;Zeilentitel_2&gt;",Uebersetzungen!$B$3:$E$32,Uebersetzungen!$B$2+1,FALSE)</f>
        <v>Zürich</v>
      </c>
      <c r="B16" s="85">
        <v>1347407.9999999909</v>
      </c>
      <c r="C16" s="86">
        <v>0.14609697640705738</v>
      </c>
      <c r="D16" s="87">
        <v>1058303.8972697263</v>
      </c>
      <c r="E16" s="88">
        <v>0.52915118521205362</v>
      </c>
      <c r="F16" s="87">
        <v>44075.478225070103</v>
      </c>
      <c r="G16" s="86">
        <v>5.5394939208070726</v>
      </c>
      <c r="H16" s="89">
        <v>75728.617856283701</v>
      </c>
      <c r="I16" s="86">
        <v>4.2026290661418786</v>
      </c>
      <c r="J16" s="87">
        <v>3565.3468755716376</v>
      </c>
      <c r="K16" s="88">
        <v>19.374590748706837</v>
      </c>
      <c r="L16" s="87">
        <v>145400.68718851238</v>
      </c>
      <c r="M16" s="86">
        <v>2.9908195223266922</v>
      </c>
      <c r="N16" s="87">
        <v>301734.04370187322</v>
      </c>
      <c r="O16" s="90">
        <v>1.9949132839435881</v>
      </c>
      <c r="R16" s="26"/>
      <c r="S16" s="26"/>
      <c r="T16" s="26"/>
    </row>
    <row r="17" spans="1:20" x14ac:dyDescent="0.2">
      <c r="A17" s="42" t="str">
        <f>VLOOKUP("&lt;Zeilentitel_3&gt;",Uebersetzungen!$B$3:$E$32,Uebersetzungen!$B$2+1,FALSE)</f>
        <v>Bern</v>
      </c>
      <c r="B17" s="85">
        <v>895907.00000000978</v>
      </c>
      <c r="C17" s="86">
        <v>0.15512405708304322</v>
      </c>
      <c r="D17" s="87">
        <v>734344.64592155942</v>
      </c>
      <c r="E17" s="88">
        <v>0.56782766573865628</v>
      </c>
      <c r="F17" s="87">
        <v>92773.483172347347</v>
      </c>
      <c r="G17" s="86">
        <v>3.609408393563422</v>
      </c>
      <c r="H17" s="89">
        <v>28643.839450606178</v>
      </c>
      <c r="I17" s="86">
        <v>6.8457927340192439</v>
      </c>
      <c r="J17" s="91">
        <v>1132.2355278100572</v>
      </c>
      <c r="K17" s="92">
        <v>33.818166618443314</v>
      </c>
      <c r="L17" s="87">
        <v>44959.180493114254</v>
      </c>
      <c r="M17" s="86">
        <v>5.5529070912409866</v>
      </c>
      <c r="N17" s="87">
        <v>128059.48430302516</v>
      </c>
      <c r="O17" s="90">
        <v>3.2284281899754625</v>
      </c>
      <c r="R17" s="26"/>
      <c r="S17" s="26"/>
      <c r="T17" s="26"/>
    </row>
    <row r="18" spans="1:20" x14ac:dyDescent="0.2">
      <c r="A18" s="42" t="str">
        <f>VLOOKUP("&lt;Zeilentitel_4&gt;",Uebersetzungen!$B$3:$E$32,Uebersetzungen!$B$2+1,FALSE)</f>
        <v>Luzern</v>
      </c>
      <c r="B18" s="85">
        <v>363522.99999999814</v>
      </c>
      <c r="C18" s="86">
        <v>0.19345630722254201</v>
      </c>
      <c r="D18" s="87">
        <v>313006.76951130247</v>
      </c>
      <c r="E18" s="88">
        <v>0.54814515559292154</v>
      </c>
      <c r="F18" s="87">
        <v>5383.6110878196223</v>
      </c>
      <c r="G18" s="86">
        <v>10.975648924299874</v>
      </c>
      <c r="H18" s="89">
        <v>12286.887774953444</v>
      </c>
      <c r="I18" s="86">
        <v>7.4111447558776806</v>
      </c>
      <c r="J18" s="93">
        <v>712.17633663112281</v>
      </c>
      <c r="K18" s="92">
        <v>31.04435032612189</v>
      </c>
      <c r="L18" s="87">
        <v>20677.21195908224</v>
      </c>
      <c r="M18" s="86">
        <v>5.8361544845189464</v>
      </c>
      <c r="N18" s="87">
        <v>64817.24054887372</v>
      </c>
      <c r="O18" s="90">
        <v>3.1476247102809092</v>
      </c>
      <c r="R18" s="26"/>
      <c r="S18" s="26"/>
      <c r="T18" s="26"/>
    </row>
    <row r="19" spans="1:20" x14ac:dyDescent="0.2">
      <c r="A19" s="42" t="str">
        <f>VLOOKUP("&lt;Zeilentitel_5&gt;",Uebersetzungen!$B$3:$E$32,Uebersetzungen!$B$2+1,FALSE)</f>
        <v>Uri</v>
      </c>
      <c r="B19" s="85">
        <v>31946.000000000331</v>
      </c>
      <c r="C19" s="86">
        <v>0.88503992777011886</v>
      </c>
      <c r="D19" s="87">
        <v>28682.902129604452</v>
      </c>
      <c r="E19" s="88">
        <v>2.1868367948110237</v>
      </c>
      <c r="F19" s="93">
        <v>217.00512246007611</v>
      </c>
      <c r="G19" s="94">
        <v>79.665363795290105</v>
      </c>
      <c r="H19" s="95">
        <v>691.45994271140125</v>
      </c>
      <c r="I19" s="94">
        <v>43.117985072520831</v>
      </c>
      <c r="J19" s="87" t="s">
        <v>337</v>
      </c>
      <c r="K19" s="88" t="s">
        <v>337</v>
      </c>
      <c r="L19" s="91">
        <v>1247.5808191268393</v>
      </c>
      <c r="M19" s="94">
        <v>33.341879841135743</v>
      </c>
      <c r="N19" s="87">
        <v>3864.7607159489839</v>
      </c>
      <c r="O19" s="90">
        <v>19.243828536630058</v>
      </c>
      <c r="R19" s="26"/>
      <c r="S19" s="26"/>
      <c r="T19" s="26"/>
    </row>
    <row r="20" spans="1:20" x14ac:dyDescent="0.2">
      <c r="A20" s="42" t="str">
        <f>VLOOKUP("&lt;Zeilentitel_6&gt;",Uebersetzungen!$B$3:$E$32,Uebersetzungen!$B$2+1,FALSE)</f>
        <v>Schwyz</v>
      </c>
      <c r="B20" s="85">
        <v>142109.00000000227</v>
      </c>
      <c r="C20" s="86">
        <v>0.38530191072084891</v>
      </c>
      <c r="D20" s="87">
        <v>122427.26611550178</v>
      </c>
      <c r="E20" s="88">
        <v>1.2608325099603956</v>
      </c>
      <c r="F20" s="87">
        <v>2420.312520981442</v>
      </c>
      <c r="G20" s="86">
        <v>22.857854874603213</v>
      </c>
      <c r="H20" s="89">
        <v>4708.3771899033391</v>
      </c>
      <c r="I20" s="86">
        <v>16.518053358459969</v>
      </c>
      <c r="J20" s="93">
        <v>485.37642866581427</v>
      </c>
      <c r="K20" s="92">
        <v>51.632049767898188</v>
      </c>
      <c r="L20" s="87">
        <v>9791.0620786670424</v>
      </c>
      <c r="M20" s="86">
        <v>11.538224920403191</v>
      </c>
      <c r="N20" s="87">
        <v>22054.531129609062</v>
      </c>
      <c r="O20" s="90">
        <v>7.5550610747560043</v>
      </c>
      <c r="R20" s="26"/>
      <c r="S20" s="26"/>
      <c r="T20" s="26"/>
    </row>
    <row r="21" spans="1:20" x14ac:dyDescent="0.2">
      <c r="A21" s="42" t="str">
        <f>VLOOKUP("&lt;Zeilentitel_7&gt;",Uebersetzungen!$B$3:$E$32,Uebersetzungen!$B$2+1,FALSE)</f>
        <v>Obwalden</v>
      </c>
      <c r="B21" s="85">
        <v>33148.999999999549</v>
      </c>
      <c r="C21" s="86">
        <v>0.64574877992726687</v>
      </c>
      <c r="D21" s="87">
        <v>29285.018797269018</v>
      </c>
      <c r="E21" s="88">
        <v>2.4200139465697599</v>
      </c>
      <c r="F21" s="93">
        <v>389.72279379315495</v>
      </c>
      <c r="G21" s="94">
        <v>58.179019919977605</v>
      </c>
      <c r="H21" s="95">
        <v>580.31792401850726</v>
      </c>
      <c r="I21" s="94">
        <v>46.735795188957269</v>
      </c>
      <c r="J21" s="87" t="s">
        <v>337</v>
      </c>
      <c r="K21" s="88" t="s">
        <v>337</v>
      </c>
      <c r="L21" s="91">
        <v>1466.2321982244061</v>
      </c>
      <c r="M21" s="94">
        <v>30.526172378015708</v>
      </c>
      <c r="N21" s="87">
        <v>4252.4562383306175</v>
      </c>
      <c r="O21" s="90">
        <v>17.28047108137271</v>
      </c>
      <c r="R21" s="26"/>
      <c r="S21" s="26"/>
      <c r="T21" s="26"/>
    </row>
    <row r="22" spans="1:20" x14ac:dyDescent="0.2">
      <c r="A22" s="42" t="str">
        <f>VLOOKUP("&lt;Zeilentitel_8&gt;",Uebersetzungen!$B$3:$E$32,Uebersetzungen!$B$2+1,FALSE)</f>
        <v>Nidwalden</v>
      </c>
      <c r="B22" s="85">
        <v>38597.999999999891</v>
      </c>
      <c r="C22" s="86">
        <v>0.64669126821318723</v>
      </c>
      <c r="D22" s="87">
        <v>34804.075040612246</v>
      </c>
      <c r="E22" s="88">
        <v>1.8805477571238656</v>
      </c>
      <c r="F22" s="93">
        <v>440.03662278243132</v>
      </c>
      <c r="G22" s="94">
        <v>53.473314370996924</v>
      </c>
      <c r="H22" s="96">
        <v>1445.4014285486892</v>
      </c>
      <c r="I22" s="94">
        <v>30.424311041004273</v>
      </c>
      <c r="J22" s="87" t="s">
        <v>337</v>
      </c>
      <c r="K22" s="88" t="s">
        <v>337</v>
      </c>
      <c r="L22" s="87">
        <v>2270.6467919124116</v>
      </c>
      <c r="M22" s="86">
        <v>23.636043970838397</v>
      </c>
      <c r="N22" s="87">
        <v>4418.0073632875446</v>
      </c>
      <c r="O22" s="90">
        <v>17.392608342991174</v>
      </c>
      <c r="R22" s="26"/>
      <c r="S22" s="26"/>
      <c r="T22" s="26"/>
    </row>
    <row r="23" spans="1:20" x14ac:dyDescent="0.2">
      <c r="A23" s="42" t="str">
        <f>VLOOKUP("&lt;Zeilentitel_9&gt;",Uebersetzungen!$B$3:$E$32,Uebersetzungen!$B$2+1,FALSE)</f>
        <v>Glarus</v>
      </c>
      <c r="B23" s="85">
        <v>35219.999999999534</v>
      </c>
      <c r="C23" s="86">
        <v>0.82822125379186973</v>
      </c>
      <c r="D23" s="87">
        <v>29357.044787476345</v>
      </c>
      <c r="E23" s="88">
        <v>2.8993190365716845</v>
      </c>
      <c r="F23" s="93">
        <v>243.35150465592437</v>
      </c>
      <c r="G23" s="94">
        <v>79.783088127377738</v>
      </c>
      <c r="H23" s="96">
        <v>1661.9464214492984</v>
      </c>
      <c r="I23" s="94">
        <v>28.781052975431663</v>
      </c>
      <c r="J23" s="93">
        <v>209.06451761341273</v>
      </c>
      <c r="K23" s="92">
        <v>88.283074079692412</v>
      </c>
      <c r="L23" s="91">
        <v>1647.4837040190914</v>
      </c>
      <c r="M23" s="94">
        <v>29.534397458520932</v>
      </c>
      <c r="N23" s="87">
        <v>7157.8024495426307</v>
      </c>
      <c r="O23" s="90">
        <v>13.368031496452902</v>
      </c>
      <c r="R23" s="26"/>
      <c r="S23" s="26"/>
      <c r="T23" s="26"/>
    </row>
    <row r="24" spans="1:20" x14ac:dyDescent="0.2">
      <c r="A24" s="42" t="str">
        <f>VLOOKUP("&lt;Zeilentitel_10&gt;",Uebersetzungen!$B$3:$E$32,Uebersetzungen!$B$2+1,FALSE)</f>
        <v>Zug</v>
      </c>
      <c r="B24" s="85">
        <v>111082.99999999798</v>
      </c>
      <c r="C24" s="86">
        <v>0.30180082167523525</v>
      </c>
      <c r="D24" s="87">
        <v>86498.407826159717</v>
      </c>
      <c r="E24" s="88">
        <v>1.3025497475234655</v>
      </c>
      <c r="F24" s="87">
        <v>4195.9839524471317</v>
      </c>
      <c r="G24" s="86">
        <v>12.183405224638452</v>
      </c>
      <c r="H24" s="89">
        <v>4483.8025709594367</v>
      </c>
      <c r="I24" s="86">
        <v>11.894818577079219</v>
      </c>
      <c r="J24" s="93">
        <v>304.29590343550711</v>
      </c>
      <c r="K24" s="92">
        <v>44.897935659520186</v>
      </c>
      <c r="L24" s="87">
        <v>15677.172202128382</v>
      </c>
      <c r="M24" s="86">
        <v>6.0259517156957179</v>
      </c>
      <c r="N24" s="87">
        <v>23111.179107698765</v>
      </c>
      <c r="O24" s="90">
        <v>4.9068384453137881</v>
      </c>
      <c r="R24" s="26"/>
      <c r="S24" s="26"/>
      <c r="T24" s="26"/>
    </row>
    <row r="25" spans="1:20" x14ac:dyDescent="0.2">
      <c r="A25" s="42" t="str">
        <f>VLOOKUP("&lt;Zeilentitel_11&gt;",Uebersetzungen!$B$3:$E$32,Uebersetzungen!$B$2+1,FALSE)</f>
        <v>Freiburg</v>
      </c>
      <c r="B25" s="85">
        <v>283762.99999999872</v>
      </c>
      <c r="C25" s="86">
        <v>0.32445426787497744</v>
      </c>
      <c r="D25" s="87">
        <v>71143.421582704468</v>
      </c>
      <c r="E25" s="88">
        <v>3.719069528620814</v>
      </c>
      <c r="F25" s="87">
        <v>193770.82137435745</v>
      </c>
      <c r="G25" s="86">
        <v>1.5029741488008497</v>
      </c>
      <c r="H25" s="89">
        <v>7316.5362118694065</v>
      </c>
      <c r="I25" s="86">
        <v>13.617310561768996</v>
      </c>
      <c r="J25" s="87" t="s">
        <v>337</v>
      </c>
      <c r="K25" s="88" t="s">
        <v>337</v>
      </c>
      <c r="L25" s="87">
        <v>12362.460589765145</v>
      </c>
      <c r="M25" s="86">
        <v>10.688180642943518</v>
      </c>
      <c r="N25" s="87">
        <v>51720.838471149807</v>
      </c>
      <c r="O25" s="90">
        <v>5.0374018648307697</v>
      </c>
      <c r="R25" s="26"/>
      <c r="S25" s="26"/>
      <c r="T25" s="26"/>
    </row>
    <row r="26" spans="1:20" x14ac:dyDescent="0.2">
      <c r="A26" s="42" t="str">
        <f>VLOOKUP("&lt;Zeilentitel_12&gt;",Uebersetzungen!$B$3:$E$32,Uebersetzungen!$B$2+1,FALSE)</f>
        <v>Solothurn</v>
      </c>
      <c r="B26" s="85">
        <v>243244.00000000512</v>
      </c>
      <c r="C26" s="86">
        <v>0.37149545326777628</v>
      </c>
      <c r="D26" s="87">
        <v>208636.92007123237</v>
      </c>
      <c r="E26" s="88">
        <v>0.9705340265117659</v>
      </c>
      <c r="F26" s="87">
        <v>4834.4914069324368</v>
      </c>
      <c r="G26" s="86">
        <v>17.079123165773218</v>
      </c>
      <c r="H26" s="89">
        <v>11039.758603014881</v>
      </c>
      <c r="I26" s="86">
        <v>11.312861667285263</v>
      </c>
      <c r="J26" s="93">
        <v>458.38950191476079</v>
      </c>
      <c r="K26" s="92">
        <v>53.73741335801332</v>
      </c>
      <c r="L26" s="87">
        <v>11784.433676144652</v>
      </c>
      <c r="M26" s="86">
        <v>11.131120086118917</v>
      </c>
      <c r="N26" s="87">
        <v>45294.926129637861</v>
      </c>
      <c r="O26" s="90">
        <v>5.4671059940532061</v>
      </c>
      <c r="R26" s="26"/>
      <c r="S26" s="26"/>
      <c r="T26" s="26"/>
    </row>
    <row r="27" spans="1:20" x14ac:dyDescent="0.2">
      <c r="A27" s="42" t="str">
        <f>VLOOKUP("&lt;Zeilentitel_13&gt;",Uebersetzungen!$B$3:$E$32,Uebersetzungen!$B$2+1,FALSE)</f>
        <v>Basel-Stadt</v>
      </c>
      <c r="B27" s="85">
        <v>168790.99999999831</v>
      </c>
      <c r="C27" s="86">
        <v>0.48378807353461289</v>
      </c>
      <c r="D27" s="87">
        <v>124862.94704049606</v>
      </c>
      <c r="E27" s="88">
        <v>1.7423457023783815</v>
      </c>
      <c r="F27" s="87">
        <v>7565.2104983640902</v>
      </c>
      <c r="G27" s="86">
        <v>13.487525854797411</v>
      </c>
      <c r="H27" s="89">
        <v>9929.6729375116374</v>
      </c>
      <c r="I27" s="86">
        <v>11.63445863515186</v>
      </c>
      <c r="J27" s="87" t="s">
        <v>337</v>
      </c>
      <c r="K27" s="88" t="s">
        <v>337</v>
      </c>
      <c r="L27" s="87">
        <v>22771.894401148726</v>
      </c>
      <c r="M27" s="86">
        <v>7.6644512891463936</v>
      </c>
      <c r="N27" s="87">
        <v>44126.818630469803</v>
      </c>
      <c r="O27" s="90">
        <v>5.2587375958949147</v>
      </c>
      <c r="R27" s="26"/>
      <c r="S27" s="26"/>
      <c r="T27" s="26"/>
    </row>
    <row r="28" spans="1:20" x14ac:dyDescent="0.2">
      <c r="A28" s="42" t="str">
        <f>VLOOKUP("&lt;Zeilentitel_14&gt;",Uebersetzungen!$B$3:$E$32,Uebersetzungen!$B$2+1,FALSE)</f>
        <v>Basel-Landschaft</v>
      </c>
      <c r="B28" s="85">
        <v>253309.00000000407</v>
      </c>
      <c r="C28" s="86">
        <v>0.31598533704056297</v>
      </c>
      <c r="D28" s="87">
        <v>213310.82213382638</v>
      </c>
      <c r="E28" s="88">
        <v>1.0064230470772135</v>
      </c>
      <c r="F28" s="87">
        <v>7841.513056124124</v>
      </c>
      <c r="G28" s="86">
        <v>12.770808371655219</v>
      </c>
      <c r="H28" s="89">
        <v>12626.574129458582</v>
      </c>
      <c r="I28" s="86">
        <v>10.151618599018981</v>
      </c>
      <c r="J28" s="93">
        <v>421.81517997517642</v>
      </c>
      <c r="K28" s="92">
        <v>56.164978494742748</v>
      </c>
      <c r="L28" s="87">
        <v>20129.437986411176</v>
      </c>
      <c r="M28" s="86">
        <v>8.0951666007559222</v>
      </c>
      <c r="N28" s="87">
        <v>45609.30943511214</v>
      </c>
      <c r="O28" s="90">
        <v>5.2851480569429246</v>
      </c>
      <c r="R28" s="26"/>
      <c r="S28" s="26"/>
      <c r="T28" s="26"/>
    </row>
    <row r="29" spans="1:20" x14ac:dyDescent="0.2">
      <c r="A29" s="42" t="str">
        <f>VLOOKUP("&lt;Zeilentitel_15&gt;",Uebersetzungen!$B$3:$E$54,Uebersetzungen!$B$2+1,FALSE)</f>
        <v>Schaffhausen</v>
      </c>
      <c r="B29" s="85">
        <v>74427.999999999505</v>
      </c>
      <c r="C29" s="86">
        <v>0.6381797557459894</v>
      </c>
      <c r="D29" s="87">
        <v>64607.560495957863</v>
      </c>
      <c r="E29" s="88">
        <v>1.7658761487054124</v>
      </c>
      <c r="F29" s="91">
        <v>1254.4660942700302</v>
      </c>
      <c r="G29" s="94">
        <v>33.35693606792735</v>
      </c>
      <c r="H29" s="89">
        <v>2980.5575677253973</v>
      </c>
      <c r="I29" s="86">
        <v>21.313984766699587</v>
      </c>
      <c r="J29" s="87" t="s">
        <v>337</v>
      </c>
      <c r="K29" s="88" t="s">
        <v>337</v>
      </c>
      <c r="L29" s="87">
        <v>4986.3348871821554</v>
      </c>
      <c r="M29" s="86">
        <v>16.557091500841501</v>
      </c>
      <c r="N29" s="87">
        <v>14409.171427992145</v>
      </c>
      <c r="O29" s="90">
        <v>9.4685878910268908</v>
      </c>
      <c r="R29" s="26"/>
      <c r="S29" s="26"/>
      <c r="T29" s="26"/>
    </row>
    <row r="30" spans="1:20" ht="14.25" customHeight="1" x14ac:dyDescent="0.2">
      <c r="A30" s="42" t="str">
        <f>VLOOKUP("&lt;Zeilentitel_16&gt;",Uebersetzungen!$B$3:$E$54,Uebersetzungen!$B$2+1,FALSE)</f>
        <v>Appenzell Ausserrhoden</v>
      </c>
      <c r="B30" s="85">
        <v>46838.000000000444</v>
      </c>
      <c r="C30" s="86">
        <v>0.83967259033920505</v>
      </c>
      <c r="D30" s="87">
        <v>42998.699735351976</v>
      </c>
      <c r="E30" s="88">
        <v>1.7650600387159348</v>
      </c>
      <c r="F30" s="93">
        <v>527.37985041031436</v>
      </c>
      <c r="G30" s="94">
        <v>50.022764104425292</v>
      </c>
      <c r="H30" s="96">
        <v>1103.2635165213446</v>
      </c>
      <c r="I30" s="94">
        <v>35.408510517719634</v>
      </c>
      <c r="J30" s="87" t="s">
        <v>337</v>
      </c>
      <c r="K30" s="88" t="s">
        <v>337</v>
      </c>
      <c r="L30" s="91">
        <v>1821.0511668297181</v>
      </c>
      <c r="M30" s="94">
        <v>27.472081871736652</v>
      </c>
      <c r="N30" s="87">
        <v>5602.4945910990682</v>
      </c>
      <c r="O30" s="90">
        <v>15.62908469924843</v>
      </c>
      <c r="R30" s="26"/>
      <c r="S30" s="26"/>
      <c r="T30" s="26"/>
    </row>
    <row r="31" spans="1:20" x14ac:dyDescent="0.2">
      <c r="A31" s="42" t="str">
        <f>VLOOKUP("&lt;Zeilentitel_17&gt;",Uebersetzungen!$B$3:$E$54,Uebersetzungen!$B$2+1,FALSE)</f>
        <v>Appenzell Innerrhoden</v>
      </c>
      <c r="B31" s="85">
        <v>13807.999999999931</v>
      </c>
      <c r="C31" s="86">
        <v>1.1928774840543177</v>
      </c>
      <c r="D31" s="87">
        <v>12871.794011298349</v>
      </c>
      <c r="E31" s="88">
        <v>2.8836075862135302</v>
      </c>
      <c r="F31" s="87" t="s">
        <v>337</v>
      </c>
      <c r="G31" s="86" t="s">
        <v>337</v>
      </c>
      <c r="H31" s="95">
        <v>297.91242974758325</v>
      </c>
      <c r="I31" s="94">
        <v>69.326955600179446</v>
      </c>
      <c r="J31" s="87" t="s">
        <v>337</v>
      </c>
      <c r="K31" s="88" t="s">
        <v>337</v>
      </c>
      <c r="L31" s="93">
        <v>492.81011986187343</v>
      </c>
      <c r="M31" s="94">
        <v>53.665178265577801</v>
      </c>
      <c r="N31" s="91">
        <v>1013.9947273858114</v>
      </c>
      <c r="O31" s="97">
        <v>36.861197126263647</v>
      </c>
      <c r="R31" s="26"/>
      <c r="S31" s="26"/>
      <c r="T31" s="26"/>
    </row>
    <row r="32" spans="1:20" x14ac:dyDescent="0.2">
      <c r="A32" s="42" t="str">
        <f>VLOOKUP("&lt;Zeilentitel_18&gt;",Uebersetzungen!$B$3:$E$54,Uebersetzungen!$B$2+1,FALSE)</f>
        <v>St. Gallen</v>
      </c>
      <c r="B32" s="85">
        <v>448491.00000000792</v>
      </c>
      <c r="C32" s="86">
        <v>0.24694214519377028</v>
      </c>
      <c r="D32" s="87">
        <v>383261.49356574152</v>
      </c>
      <c r="E32" s="88">
        <v>0.7260347607380514</v>
      </c>
      <c r="F32" s="87">
        <v>4420.8579846024304</v>
      </c>
      <c r="G32" s="86">
        <v>17.432139822335738</v>
      </c>
      <c r="H32" s="89">
        <v>15876.124525924686</v>
      </c>
      <c r="I32" s="86">
        <v>9.215556580181099</v>
      </c>
      <c r="J32" s="91">
        <v>1523.7092928617794</v>
      </c>
      <c r="K32" s="92">
        <v>29.668179916841005</v>
      </c>
      <c r="L32" s="87">
        <v>23481.969865441242</v>
      </c>
      <c r="M32" s="86">
        <v>7.7520185098469643</v>
      </c>
      <c r="N32" s="87">
        <v>88879.349547528967</v>
      </c>
      <c r="O32" s="90">
        <v>3.7495948453900128</v>
      </c>
      <c r="R32" s="26"/>
      <c r="S32" s="26"/>
      <c r="T32" s="26"/>
    </row>
    <row r="33" spans="1:20" x14ac:dyDescent="0.2">
      <c r="A33" s="43" t="str">
        <f>VLOOKUP("&lt;Zeilentitel_19&gt;",Uebersetzungen!$B$3:$E$54,Uebersetzungen!$B$2+1,FALSE)</f>
        <v>Graubünden</v>
      </c>
      <c r="B33" s="59">
        <v>175976.99999999587</v>
      </c>
      <c r="C33" s="60">
        <v>0.39675788464814288</v>
      </c>
      <c r="D33" s="11">
        <v>131093.41631149975</v>
      </c>
      <c r="E33" s="98">
        <v>1.6047718782711258</v>
      </c>
      <c r="F33" s="11">
        <v>2123.9565756562365</v>
      </c>
      <c r="G33" s="60">
        <v>25.313116882426147</v>
      </c>
      <c r="H33" s="99">
        <v>23146.95865036987</v>
      </c>
      <c r="I33" s="60">
        <v>7.297069865365529</v>
      </c>
      <c r="J33" s="11">
        <v>21648.149751092798</v>
      </c>
      <c r="K33" s="98">
        <v>7.2582903879353342</v>
      </c>
      <c r="L33" s="11">
        <v>6965.7758386015994</v>
      </c>
      <c r="M33" s="60">
        <v>14.362064016904496</v>
      </c>
      <c r="N33" s="11">
        <v>23487.93400552106</v>
      </c>
      <c r="O33" s="61">
        <v>7.7139320442804644</v>
      </c>
      <c r="R33" s="26"/>
      <c r="S33" s="26"/>
      <c r="T33" s="26"/>
    </row>
    <row r="34" spans="1:20" x14ac:dyDescent="0.2">
      <c r="A34" s="42" t="str">
        <f>VLOOKUP("&lt;Zeilentitel_20&gt;",Uebersetzungen!$B$3:$E$54,Uebersetzungen!$B$2+1,FALSE)</f>
        <v>Aargau</v>
      </c>
      <c r="B34" s="85">
        <v>612778.00000000687</v>
      </c>
      <c r="C34" s="86">
        <v>0.1500303803605253</v>
      </c>
      <c r="D34" s="87">
        <v>513824.30658590334</v>
      </c>
      <c r="E34" s="88">
        <v>0.456483838324309</v>
      </c>
      <c r="F34" s="87">
        <v>10965.346799018211</v>
      </c>
      <c r="G34" s="86">
        <v>7.6405121281907222</v>
      </c>
      <c r="H34" s="89">
        <v>32448.885322579594</v>
      </c>
      <c r="I34" s="86">
        <v>4.4577292217159812</v>
      </c>
      <c r="J34" s="87">
        <v>1034.8148196496218</v>
      </c>
      <c r="K34" s="88">
        <v>25.244072109915368</v>
      </c>
      <c r="L34" s="87">
        <v>39093.863226537695</v>
      </c>
      <c r="M34" s="86">
        <v>4.1303727289129322</v>
      </c>
      <c r="N34" s="87">
        <v>130634.98769573009</v>
      </c>
      <c r="O34" s="90">
        <v>2.1622252427077573</v>
      </c>
      <c r="R34" s="26"/>
      <c r="S34" s="26"/>
      <c r="T34" s="26"/>
    </row>
    <row r="35" spans="1:20" x14ac:dyDescent="0.2">
      <c r="A35" s="42" t="str">
        <f>VLOOKUP("&lt;Zeilentitel_21&gt;",Uebersetzungen!$B$3:$E$54,Uebersetzungen!$B$2+1,FALSE)</f>
        <v>Thurgau</v>
      </c>
      <c r="B35" s="85">
        <v>249376.00000000253</v>
      </c>
      <c r="C35" s="86">
        <v>0.35527943227874603</v>
      </c>
      <c r="D35" s="87">
        <v>217042.29601808303</v>
      </c>
      <c r="E35" s="88">
        <v>0.91453969602438989</v>
      </c>
      <c r="F35" s="87">
        <v>3240.8109056797239</v>
      </c>
      <c r="G35" s="86">
        <v>20.396403893708023</v>
      </c>
      <c r="H35" s="89">
        <v>9561.9452883789527</v>
      </c>
      <c r="I35" s="86">
        <v>11.841558949725005</v>
      </c>
      <c r="J35" s="93">
        <v>509.50257708038907</v>
      </c>
      <c r="K35" s="92">
        <v>54.305128633246653</v>
      </c>
      <c r="L35" s="87">
        <v>11707.64708007646</v>
      </c>
      <c r="M35" s="86">
        <v>11.089377023974807</v>
      </c>
      <c r="N35" s="87">
        <v>43851.699153082154</v>
      </c>
      <c r="O35" s="90">
        <v>5.5741014085522078</v>
      </c>
      <c r="R35" s="26"/>
      <c r="S35" s="26"/>
      <c r="T35" s="26"/>
    </row>
    <row r="36" spans="1:20" x14ac:dyDescent="0.2">
      <c r="A36" s="42" t="str">
        <f>VLOOKUP("&lt;Zeilentitel_22&gt;",Uebersetzungen!$B$3:$E$54,Uebersetzungen!$B$2+1,FALSE)</f>
        <v>Tessin</v>
      </c>
      <c r="B36" s="85">
        <v>308001.99999999971</v>
      </c>
      <c r="C36" s="86">
        <v>0.20641093920660311</v>
      </c>
      <c r="D36" s="87">
        <v>28031.327073833439</v>
      </c>
      <c r="E36" s="88">
        <v>4.5599701894254805</v>
      </c>
      <c r="F36" s="87">
        <v>12087.443197644745</v>
      </c>
      <c r="G36" s="86">
        <v>7.2097978411379584</v>
      </c>
      <c r="H36" s="89">
        <v>269224.33720559435</v>
      </c>
      <c r="I36" s="86">
        <v>0.59294372540381446</v>
      </c>
      <c r="J36" s="93">
        <v>277.00986489492709</v>
      </c>
      <c r="K36" s="92">
        <v>47.742666003738549</v>
      </c>
      <c r="L36" s="87">
        <v>14152.1772817206</v>
      </c>
      <c r="M36" s="86">
        <v>7.0319531544837961</v>
      </c>
      <c r="N36" s="87">
        <v>40371.281030392958</v>
      </c>
      <c r="O36" s="90">
        <v>4.0224121252789313</v>
      </c>
      <c r="R36" s="26"/>
      <c r="S36" s="26"/>
      <c r="T36" s="26"/>
    </row>
    <row r="37" spans="1:20" x14ac:dyDescent="0.2">
      <c r="A37" s="42" t="str">
        <f>VLOOKUP("&lt;Zeilentitel_23&gt;",Uebersetzungen!$B$3:$E$54,Uebersetzungen!$B$2+1,FALSE)</f>
        <v>Waadt</v>
      </c>
      <c r="B37" s="85">
        <v>699662.00000000035</v>
      </c>
      <c r="C37" s="86">
        <v>0.15227178980419126</v>
      </c>
      <c r="D37" s="87">
        <v>32423.3228109306</v>
      </c>
      <c r="E37" s="88">
        <v>4.3236449914972921</v>
      </c>
      <c r="F37" s="87">
        <v>570477.5253401415</v>
      </c>
      <c r="G37" s="86">
        <v>0.47941828488366689</v>
      </c>
      <c r="H37" s="89">
        <v>33930.895865446437</v>
      </c>
      <c r="I37" s="86">
        <v>4.3498782117717374</v>
      </c>
      <c r="J37" s="93">
        <v>403.47114154482489</v>
      </c>
      <c r="K37" s="92">
        <v>42.278248375693131</v>
      </c>
      <c r="L37" s="87">
        <v>64737.848988279104</v>
      </c>
      <c r="M37" s="86">
        <v>3.1874387477258597</v>
      </c>
      <c r="N37" s="87">
        <v>161691.753425111</v>
      </c>
      <c r="O37" s="90">
        <v>1.9220758749897919</v>
      </c>
      <c r="R37" s="26"/>
      <c r="S37" s="26"/>
      <c r="T37" s="26"/>
    </row>
    <row r="38" spans="1:20" x14ac:dyDescent="0.2">
      <c r="A38" s="42" t="str">
        <f>VLOOKUP("&lt;Zeilentitel_24&gt;",Uebersetzungen!$B$3:$E$54,Uebersetzungen!$B$2+1,FALSE)</f>
        <v>Wallis</v>
      </c>
      <c r="B38" s="85">
        <v>311881.00000000017</v>
      </c>
      <c r="C38" s="86">
        <v>0.33206874514853213</v>
      </c>
      <c r="D38" s="87">
        <v>74462.794889506244</v>
      </c>
      <c r="E38" s="88">
        <v>3.6943949592398169</v>
      </c>
      <c r="F38" s="87">
        <v>204868.00861996302</v>
      </c>
      <c r="G38" s="86">
        <v>1.5575709237402375</v>
      </c>
      <c r="H38" s="89">
        <v>13353.497130666063</v>
      </c>
      <c r="I38" s="86">
        <v>10.482187274515255</v>
      </c>
      <c r="J38" s="93">
        <v>227.24417595611425</v>
      </c>
      <c r="K38" s="92">
        <v>79.451112278708223</v>
      </c>
      <c r="L38" s="87">
        <v>14686.828210914373</v>
      </c>
      <c r="M38" s="86">
        <v>9.9961388970905354</v>
      </c>
      <c r="N38" s="87">
        <v>54024.10978244328</v>
      </c>
      <c r="O38" s="90">
        <v>5.0862142074745549</v>
      </c>
    </row>
    <row r="39" spans="1:20" x14ac:dyDescent="0.2">
      <c r="A39" s="42" t="str">
        <f>VLOOKUP("&lt;Zeilentitel_25&gt;",Uebersetzungen!$B$3:$E$54,Uebersetzungen!$B$2+1,FALSE)</f>
        <v>Neuenburg</v>
      </c>
      <c r="B39" s="85">
        <v>150142.00000000029</v>
      </c>
      <c r="C39" s="86">
        <v>0.28056232088363942</v>
      </c>
      <c r="D39" s="87">
        <v>6129.6155628391971</v>
      </c>
      <c r="E39" s="88">
        <v>9.8863067702244489</v>
      </c>
      <c r="F39" s="87">
        <v>130278.76359977256</v>
      </c>
      <c r="G39" s="86">
        <v>0.85153448725855274</v>
      </c>
      <c r="H39" s="89">
        <v>7169.0773855361431</v>
      </c>
      <c r="I39" s="86">
        <v>9.3031596040597986</v>
      </c>
      <c r="J39" s="93">
        <v>125.4685144991053</v>
      </c>
      <c r="K39" s="92">
        <v>80.89188476028032</v>
      </c>
      <c r="L39" s="87">
        <v>7109.5421716439141</v>
      </c>
      <c r="M39" s="86">
        <v>9.8309173599511954</v>
      </c>
      <c r="N39" s="87">
        <v>28327.76583643863</v>
      </c>
      <c r="O39" s="90">
        <v>4.5869543571459834</v>
      </c>
    </row>
    <row r="40" spans="1:20" x14ac:dyDescent="0.2">
      <c r="A40" s="42" t="str">
        <f>VLOOKUP("&lt;Zeilentitel_26&gt;",Uebersetzungen!$B$3:$E$54,Uebersetzungen!$B$2+1,FALSE)</f>
        <v>Genf</v>
      </c>
      <c r="B40" s="85">
        <v>405611.00000000617</v>
      </c>
      <c r="C40" s="86">
        <v>0.2533418581437471</v>
      </c>
      <c r="D40" s="87">
        <v>13697.216164577774</v>
      </c>
      <c r="E40" s="88">
        <v>6.9102570247689155</v>
      </c>
      <c r="F40" s="87">
        <v>316698.86442148173</v>
      </c>
      <c r="G40" s="86">
        <v>0.73149445315416251</v>
      </c>
      <c r="H40" s="89">
        <v>23861.212233104725</v>
      </c>
      <c r="I40" s="86">
        <v>5.3470599602625262</v>
      </c>
      <c r="J40" s="93">
        <v>230.79212223602366</v>
      </c>
      <c r="K40" s="92">
        <v>55.921559466376522</v>
      </c>
      <c r="L40" s="87">
        <v>51245.046801838907</v>
      </c>
      <c r="M40" s="86">
        <v>3.6666629149521213</v>
      </c>
      <c r="N40" s="87">
        <v>117493.85563423373</v>
      </c>
      <c r="O40" s="90">
        <v>2.2772507033073941</v>
      </c>
    </row>
    <row r="41" spans="1:20" ht="13.5" thickBot="1" x14ac:dyDescent="0.25">
      <c r="A41" s="44" t="str">
        <f>VLOOKUP("&lt;Zeilentitel_27&gt;",Uebersetzungen!$B$3:$E$54,Uebersetzungen!$B$2+1,FALSE)</f>
        <v>Jura</v>
      </c>
      <c r="B41" s="100">
        <v>62464.999999999665</v>
      </c>
      <c r="C41" s="101">
        <v>0.56737325987102105</v>
      </c>
      <c r="D41" s="102">
        <v>3553.0808084227788</v>
      </c>
      <c r="E41" s="103">
        <v>18.749923400982041</v>
      </c>
      <c r="F41" s="102">
        <v>56421.367949152569</v>
      </c>
      <c r="G41" s="101">
        <v>1.5719968508970292</v>
      </c>
      <c r="H41" s="104">
        <v>1289.2119769742221</v>
      </c>
      <c r="I41" s="105">
        <v>31.396324694497991</v>
      </c>
      <c r="J41" s="102" t="s">
        <v>337</v>
      </c>
      <c r="K41" s="103" t="s">
        <v>337</v>
      </c>
      <c r="L41" s="106">
        <v>1698.0540995304043</v>
      </c>
      <c r="M41" s="105">
        <v>28.098741855765276</v>
      </c>
      <c r="N41" s="102">
        <v>7209.8199677929142</v>
      </c>
      <c r="O41" s="107">
        <v>13.332953954202759</v>
      </c>
    </row>
    <row r="43" spans="1:20" x14ac:dyDescent="0.2">
      <c r="A43" s="14" t="str">
        <f>VLOOKUP("&lt;Legende_1&gt;",Uebersetzungen!$B$3:$E$54,Uebersetzungen!$B$2+1,FALSE)</f>
        <v>Die Befragten konnten mehrere Hauptsprachen nennen.</v>
      </c>
    </row>
    <row r="44" spans="1:20" x14ac:dyDescent="0.2">
      <c r="A44" s="14" t="str">
        <f>VLOOKUP("&lt;Legende_2&gt;",Uebersetzungen!$B$3:$E$54,Uebersetzungen!$B$2+1,FALSE)</f>
        <v>(): Extrapolation aufgrund von 49 oder weniger Beobachtungen. Die Resultate sind mit grosser Vorsicht zu interpretieren.</v>
      </c>
    </row>
    <row r="45" spans="1:20" x14ac:dyDescent="0.2">
      <c r="A45" s="14" t="str">
        <f>VLOOKUP("&lt;Legende_3&gt;",Uebersetzungen!$B$3:$E$54,Uebersetzungen!$B$2+1,FALSE)</f>
        <v>X: Extrapolation aufgrund von 4 oder weniger Beobachtungen. Die Resultate werden aus Gründen des Datenschutzes nicht publiziert.</v>
      </c>
    </row>
    <row r="46" spans="1:20" x14ac:dyDescent="0.2">
      <c r="A46" s="14" t="str">
        <f>VLOOKUP("&lt;Legende_4&gt;",Uebersetzungen!$B$3:$E$54,Uebersetzungen!$B$2+1,FALSE)</f>
        <v>Die Grundgesamtheit der Strukturerhebung enthält alle Personen der ständigen Wohnbevölkerung ab vollendetem 15. Altersjahr, die in Privathaushalten leben.</v>
      </c>
    </row>
    <row r="47" spans="1:20" x14ac:dyDescent="0.2">
      <c r="A47" s="7"/>
    </row>
    <row r="48" spans="1:20" x14ac:dyDescent="0.2">
      <c r="A48" s="7" t="str">
        <f>VLOOKUP("&lt;Quelle_1&gt;",Uebersetzungen!$B$3:$E$54,Uebersetzungen!$B$2+1,FALSE)</f>
        <v>Quelle: BFS (Strukturerhebung)</v>
      </c>
    </row>
    <row r="49" spans="1:15" x14ac:dyDescent="0.2">
      <c r="A49" s="14" t="str">
        <f>VLOOKUP("&lt;Aktualisierung&gt;",Uebersetzungen!$B$3:$E$54,Uebersetzungen!$B$2+1,FALSE)</f>
        <v>Letztmals aktualisiert am: 05.03.2026</v>
      </c>
    </row>
    <row r="50" spans="1:15" x14ac:dyDescent="0.2">
      <c r="B50" s="9"/>
      <c r="N50" s="9"/>
    </row>
    <row r="52" spans="1:15" x14ac:dyDescent="0.2">
      <c r="B52" s="10"/>
      <c r="N52" s="10"/>
    </row>
    <row r="53" spans="1:15" x14ac:dyDescent="0.2">
      <c r="N53" s="9"/>
      <c r="O53" s="9"/>
    </row>
  </sheetData>
  <sheetProtection sheet="1" objects="1" scenarios="1"/>
  <mergeCells count="10">
    <mergeCell ref="A13:A14"/>
    <mergeCell ref="B13:C13"/>
    <mergeCell ref="L13:M13"/>
    <mergeCell ref="N13:O13"/>
    <mergeCell ref="A7:L7"/>
    <mergeCell ref="B12:O12"/>
    <mergeCell ref="J13:K13"/>
    <mergeCell ref="D13:E13"/>
    <mergeCell ref="F13:G13"/>
    <mergeCell ref="H13:I13"/>
  </mergeCells>
  <pageMargins left="0.7" right="0.7" top="0.78740157499999996" bottom="0.78740157499999996" header="0.3" footer="0.3"/>
  <pageSetup paperSize="9" scale="46" orientation="portrait" r:id="rId1"/>
  <colBreaks count="1" manualBreakCount="1">
    <brk id="16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6</xdr:col>
                    <xdr:colOff>361950</xdr:colOff>
                    <xdr:row>1</xdr:row>
                    <xdr:rowOff>114300</xdr:rowOff>
                  </from>
                  <to>
                    <xdr:col>7</xdr:col>
                    <xdr:colOff>676275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6</xdr:col>
                    <xdr:colOff>361950</xdr:colOff>
                    <xdr:row>2</xdr:row>
                    <xdr:rowOff>104775</xdr:rowOff>
                  </from>
                  <to>
                    <xdr:col>8</xdr:col>
                    <xdr:colOff>276225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6</xdr:col>
                    <xdr:colOff>361950</xdr:colOff>
                    <xdr:row>3</xdr:row>
                    <xdr:rowOff>66675</xdr:rowOff>
                  </from>
                  <to>
                    <xdr:col>7</xdr:col>
                    <xdr:colOff>676275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60"/>
  <sheetViews>
    <sheetView showGridLines="0" zoomScaleNormal="100" workbookViewId="0"/>
  </sheetViews>
  <sheetFormatPr baseColWidth="10" defaultRowHeight="12.75" x14ac:dyDescent="0.2"/>
  <cols>
    <col min="1" max="1" width="29.75" style="6" customWidth="1"/>
    <col min="2" max="2" width="33.25" style="6" customWidth="1"/>
    <col min="3" max="16" width="9.5" style="6" customWidth="1"/>
    <col min="17" max="16384" width="11" style="6"/>
  </cols>
  <sheetData>
    <row r="1" spans="1:17" s="1" customFormat="1" x14ac:dyDescent="0.2"/>
    <row r="2" spans="1:17" s="1" customFormat="1" ht="15.75" x14ac:dyDescent="0.25">
      <c r="B2" s="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7" s="1" customFormat="1" ht="15.75" x14ac:dyDescent="0.25">
      <c r="B3" s="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7" s="1" customFormat="1" ht="15.75" x14ac:dyDescent="0.25">
      <c r="B4" s="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7" s="1" customFormat="1" x14ac:dyDescent="0.2"/>
    <row r="6" spans="1:17" s="1" customFormat="1" x14ac:dyDescent="0.2"/>
    <row r="7" spans="1:17" s="1" customFormat="1" ht="15.75" customHeight="1" x14ac:dyDescent="0.2">
      <c r="A7" s="64" t="str">
        <f>VLOOKUP("&lt;Fachbereich&gt;",Uebersetzungen!$B$3:$E$32,Uebersetzungen!$B$2+1,FALSE)</f>
        <v>Daten &amp; Statistik</v>
      </c>
      <c r="B7" s="64"/>
      <c r="C7" s="64"/>
      <c r="D7" s="64"/>
      <c r="E7" s="37"/>
      <c r="F7" s="37"/>
      <c r="G7" s="39"/>
      <c r="H7" s="39"/>
      <c r="I7" s="39"/>
      <c r="J7" s="39"/>
      <c r="K7" s="39"/>
      <c r="L7" s="39"/>
      <c r="M7" s="13"/>
      <c r="N7" s="13"/>
      <c r="O7" s="13"/>
      <c r="P7" s="13"/>
      <c r="Q7" s="13"/>
    </row>
    <row r="8" spans="1:17" s="1" customFormat="1" x14ac:dyDescent="0.2"/>
    <row r="9" spans="1:17" ht="18" x14ac:dyDescent="0.2">
      <c r="A9" s="3" t="str">
        <f>VLOOKUP("&lt;T2Titel&gt;",Uebersetzungen!$B$3:$E$113,Uebersetzungen!$B$2+1,FALSE)</f>
        <v>Ständige Wohnbevölkerung nach Hauptsprachen in Graubünden</v>
      </c>
      <c r="B9" s="4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</row>
    <row r="10" spans="1:17" x14ac:dyDescent="0.2">
      <c r="A10" s="7" t="str">
        <f>VLOOKUP("&lt;T2UTitel&gt;",Uebersetzungen!$B$3:$E$113,Uebersetzungen!$B$2+1,FALSE)</f>
        <v>Ständige Wohnbevölkerung ab 15 Jahren</v>
      </c>
      <c r="B10" s="4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1:17" ht="13.5" thickBot="1" x14ac:dyDescent="0.25">
      <c r="A11" s="7"/>
      <c r="B11" s="4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1:17" ht="18" x14ac:dyDescent="0.25">
      <c r="A12" s="8"/>
      <c r="B12" s="8"/>
      <c r="C12" s="70">
        <v>2024</v>
      </c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2"/>
    </row>
    <row r="13" spans="1:17" ht="37.5" customHeight="1" x14ac:dyDescent="0.2">
      <c r="B13" s="65"/>
      <c r="C13" s="67" t="str">
        <f>VLOOKUP("&lt;SpaltenTitel_1&gt;",Uebersetzungen!$B$3:$E$32,Uebersetzungen!$B$2+1,FALSE)</f>
        <v>Total</v>
      </c>
      <c r="D13" s="68"/>
      <c r="E13" s="68" t="str">
        <f>VLOOKUP("&lt;SpaltenTitel_2&gt;",Uebersetzungen!$B$3:$E$32,Uebersetzungen!$B$2+1,FALSE)</f>
        <v>Deutsch (oder Schweizerdeutsch)</v>
      </c>
      <c r="F13" s="68"/>
      <c r="G13" s="68" t="str">
        <f>VLOOKUP("&lt;SpaltenTitel_3&gt;",Uebersetzungen!$B$3:$E$32,Uebersetzungen!$B$2+1,FALSE)</f>
        <v>Französisch (oder Patois Romand)</v>
      </c>
      <c r="H13" s="68"/>
      <c r="I13" s="68" t="str">
        <f>VLOOKUP("&lt;SpaltenTitel_4&gt;",Uebersetzungen!$B$3:$E$32,Uebersetzungen!$B$2+1,FALSE)</f>
        <v>Italienisch (oder Tessiner/Bündner-italienischer Dialekt)</v>
      </c>
      <c r="J13" s="68"/>
      <c r="K13" s="68" t="str">
        <f>VLOOKUP("&lt;SpaltenTitel_5&gt;",Uebersetzungen!$B$3:$E$32,Uebersetzungen!$B$2+1,FALSE)</f>
        <v>Rätoromanisch</v>
      </c>
      <c r="L13" s="68"/>
      <c r="M13" s="68" t="str">
        <f>VLOOKUP("&lt;SpaltenTitel_6&gt;",Uebersetzungen!$B$3:$E$32,Uebersetzungen!$B$2+1,FALSE)</f>
        <v>Englisch</v>
      </c>
      <c r="N13" s="68"/>
      <c r="O13" s="68" t="str">
        <f>VLOOKUP("&lt;SpaltenTitel_7&gt;",Uebersetzungen!$B$3:$E$32,Uebersetzungen!$B$2+1,FALSE)</f>
        <v>Andere Sprache/n</v>
      </c>
      <c r="P13" s="69"/>
    </row>
    <row r="14" spans="1:17" ht="39" thickBot="1" x14ac:dyDescent="0.25">
      <c r="B14" s="66"/>
      <c r="C14" s="58" t="str">
        <f>VLOOKUP("&lt;SpaltenTitel_1.1&gt;",Uebersetzungen!$B$3:$E$32,Uebersetzungen!$B$2+1,FALSE)</f>
        <v>Anzahl Personen</v>
      </c>
      <c r="D14" s="57" t="str">
        <f>VLOOKUP("&lt;SpaltenTitel_1.2&gt;",Uebersetzungen!$B$3:$E$32,Uebersetzungen!$B$2+1,FALSE)</f>
        <v>Vertrauens- intervall: 
± (in %)</v>
      </c>
      <c r="E14" s="53" t="str">
        <f>VLOOKUP("&lt;SpaltenTitel_1.1&gt;",Uebersetzungen!$B$3:$E$32,Uebersetzungen!$B$2+1,FALSE)</f>
        <v>Anzahl Personen</v>
      </c>
      <c r="F14" s="52" t="str">
        <f>VLOOKUP("&lt;SpaltenTitel_1.2&gt;",Uebersetzungen!$B$3:$E$32,Uebersetzungen!$B$2+1,FALSE)</f>
        <v>Vertrauens- intervall: 
± (in %)</v>
      </c>
      <c r="G14" s="54" t="str">
        <f>VLOOKUP("&lt;SpaltenTitel_1.1&gt;",Uebersetzungen!$B$3:$E$32,Uebersetzungen!$B$2+1,FALSE)</f>
        <v>Anzahl Personen</v>
      </c>
      <c r="H14" s="52" t="str">
        <f>VLOOKUP("&lt;SpaltenTitel_1.2&gt;",Uebersetzungen!$B$3:$E$32,Uebersetzungen!$B$2+1,FALSE)</f>
        <v>Vertrauens- intervall: 
± (in %)</v>
      </c>
      <c r="I14" s="55" t="str">
        <f>VLOOKUP("&lt;SpaltenTitel_1.1&gt;",Uebersetzungen!$B$3:$E$32,Uebersetzungen!$B$2+1,FALSE)</f>
        <v>Anzahl Personen</v>
      </c>
      <c r="J14" s="57" t="str">
        <f>VLOOKUP("&lt;SpaltenTitel_1.2&gt;",Uebersetzungen!$B$3:$E$32,Uebersetzungen!$B$2+1,FALSE)</f>
        <v>Vertrauens- intervall: 
± (in %)</v>
      </c>
      <c r="K14" s="55" t="str">
        <f>VLOOKUP("&lt;SpaltenTitel_1.1&gt;",Uebersetzungen!$B$3:$E$32,Uebersetzungen!$B$2+1,FALSE)</f>
        <v>Anzahl Personen</v>
      </c>
      <c r="L14" s="57" t="str">
        <f>VLOOKUP("&lt;SpaltenTitel_1.2&gt;",Uebersetzungen!$B$3:$E$32,Uebersetzungen!$B$2+1,FALSE)</f>
        <v>Vertrauens- intervall: 
± (in %)</v>
      </c>
      <c r="M14" s="55" t="str">
        <f>VLOOKUP("&lt;SpaltenTitel_1.1&gt;",Uebersetzungen!$B$3:$E$32,Uebersetzungen!$B$2+1,FALSE)</f>
        <v>Anzahl Personen</v>
      </c>
      <c r="N14" s="57" t="str">
        <f>VLOOKUP("&lt;SpaltenTitel_1.2&gt;",Uebersetzungen!$B$3:$E$32,Uebersetzungen!$B$2+1,FALSE)</f>
        <v>Vertrauens- intervall: 
± (in %)</v>
      </c>
      <c r="O14" s="55" t="str">
        <f>VLOOKUP("&lt;SpaltenTitel_1.1&gt;",Uebersetzungen!$B$3:$E$32,Uebersetzungen!$B$2+1,FALSE)</f>
        <v>Anzahl Personen</v>
      </c>
      <c r="P14" s="56" t="str">
        <f>VLOOKUP("&lt;SpaltenTitel_1.2&gt;",Uebersetzungen!$B$3:$E$32,Uebersetzungen!$B$2+1,FALSE)</f>
        <v>Vertrauens- intervall: 
± (in %)</v>
      </c>
    </row>
    <row r="15" spans="1:17" ht="14.25" customHeight="1" x14ac:dyDescent="0.2">
      <c r="A15" s="30" t="str">
        <f>VLOOKUP("&lt;T2Zeilentitel_1&gt;",Uebersetzungen!$B$3:$E$105,Uebersetzungen!$B$2+1,FALSE)</f>
        <v>Total</v>
      </c>
      <c r="B15" s="47"/>
      <c r="C15" s="79">
        <v>175976.99999999584</v>
      </c>
      <c r="D15" s="80">
        <v>0.3967578846481099</v>
      </c>
      <c r="E15" s="81">
        <v>131093.41631149928</v>
      </c>
      <c r="F15" s="82">
        <v>1.6047718782711538</v>
      </c>
      <c r="G15" s="81">
        <v>2123.956575656237</v>
      </c>
      <c r="H15" s="80">
        <v>25.313116882426144</v>
      </c>
      <c r="I15" s="83">
        <v>23146.958650369852</v>
      </c>
      <c r="J15" s="80">
        <v>7.2970698653655353</v>
      </c>
      <c r="K15" s="81">
        <v>21648.149751092802</v>
      </c>
      <c r="L15" s="82">
        <v>7.2582903879353324</v>
      </c>
      <c r="M15" s="81">
        <v>6965.7758386015958</v>
      </c>
      <c r="N15" s="80">
        <v>14.362064016904503</v>
      </c>
      <c r="O15" s="81">
        <v>23487.934005521056</v>
      </c>
      <c r="P15" s="84">
        <v>7.7139320442804653</v>
      </c>
    </row>
    <row r="16" spans="1:17" x14ac:dyDescent="0.2">
      <c r="A16" s="31" t="str">
        <f>VLOOKUP("&lt;T2Zeilentitel_2&gt;",Uebersetzungen!$B$3:$E$105,Uebersetzungen!$B$2+1,FALSE)</f>
        <v>Geschlecht</v>
      </c>
      <c r="B16" s="48" t="str">
        <f>VLOOKUP("&lt;T2Zeilentitel_2.1&gt;",Uebersetzungen!$B$3:$E$105,Uebersetzungen!$B$2+1,FALSE)</f>
        <v>Männer</v>
      </c>
      <c r="C16" s="113">
        <v>88469.999999997206</v>
      </c>
      <c r="D16" s="114">
        <v>2.8767215425128136</v>
      </c>
      <c r="E16" s="115">
        <v>64064.633566040378</v>
      </c>
      <c r="F16" s="116">
        <v>3.7010744650923799</v>
      </c>
      <c r="G16" s="117">
        <v>1050.8133943649468</v>
      </c>
      <c r="H16" s="118">
        <v>36.52401483180067</v>
      </c>
      <c r="I16" s="119">
        <v>13219.760810646314</v>
      </c>
      <c r="J16" s="114">
        <v>10.154453233576415</v>
      </c>
      <c r="K16" s="115">
        <v>11822.53472819651</v>
      </c>
      <c r="L16" s="116">
        <v>10.175935755487604</v>
      </c>
      <c r="M16" s="115">
        <v>4067.9528435975167</v>
      </c>
      <c r="N16" s="114">
        <v>19.554620375526667</v>
      </c>
      <c r="O16" s="115">
        <v>11128.066146591007</v>
      </c>
      <c r="P16" s="120">
        <v>12.146950837312355</v>
      </c>
    </row>
    <row r="17" spans="1:16" x14ac:dyDescent="0.2">
      <c r="A17" s="32"/>
      <c r="B17" s="49" t="str">
        <f>VLOOKUP("&lt;T2Zeilentitel_2.2&gt;",Uebersetzungen!$B$3:$E$105,Uebersetzungen!$B$2+1,FALSE)</f>
        <v>Frauen</v>
      </c>
      <c r="C17" s="121">
        <v>87506.999999998632</v>
      </c>
      <c r="D17" s="122">
        <v>2.7377556760568122</v>
      </c>
      <c r="E17" s="123">
        <v>67028.782745458899</v>
      </c>
      <c r="F17" s="109">
        <v>3.437742084393947</v>
      </c>
      <c r="G17" s="124">
        <v>1073.1431812912899</v>
      </c>
      <c r="H17" s="125">
        <v>35.294925454004385</v>
      </c>
      <c r="I17" s="108">
        <v>9927.1978397235398</v>
      </c>
      <c r="J17" s="122">
        <v>11.260961679491386</v>
      </c>
      <c r="K17" s="123">
        <v>9825.6150228962942</v>
      </c>
      <c r="L17" s="109">
        <v>11.137696863965669</v>
      </c>
      <c r="M17" s="123">
        <v>2897.8229950040795</v>
      </c>
      <c r="N17" s="122">
        <v>21.438229668500316</v>
      </c>
      <c r="O17" s="123">
        <v>12359.867858930051</v>
      </c>
      <c r="P17" s="126">
        <v>10.436725844005959</v>
      </c>
    </row>
    <row r="18" spans="1:16" x14ac:dyDescent="0.2">
      <c r="A18" s="33" t="str">
        <f>VLOOKUP("&lt;T2Zeilentitel_3&gt;",Uebersetzungen!$B$3:$E$105,Uebersetzungen!$B$2+1,FALSE)</f>
        <v>Alter</v>
      </c>
      <c r="B18" s="26" t="str">
        <f>VLOOKUP("&lt;T2Zeilentitel_3.1&gt;",Uebersetzungen!$B$3:$E$105,Uebersetzungen!$B$2+1,FALSE)</f>
        <v>15-24</v>
      </c>
      <c r="C18" s="85">
        <v>18707.999999999502</v>
      </c>
      <c r="D18" s="86">
        <v>8.3015949454829325</v>
      </c>
      <c r="E18" s="87">
        <v>14369.558778196166</v>
      </c>
      <c r="F18" s="88">
        <v>9.4554667133905621</v>
      </c>
      <c r="G18" s="87" t="s">
        <v>337</v>
      </c>
      <c r="H18" s="86" t="s">
        <v>337</v>
      </c>
      <c r="I18" s="89">
        <v>2077.0640538622815</v>
      </c>
      <c r="J18" s="86">
        <v>26.551179522386395</v>
      </c>
      <c r="K18" s="87">
        <v>2609.5428212337542</v>
      </c>
      <c r="L18" s="88">
        <v>22.57824112808224</v>
      </c>
      <c r="M18" s="91">
        <v>1428.2200803158994</v>
      </c>
      <c r="N18" s="94">
        <v>34.182534204375266</v>
      </c>
      <c r="O18" s="91">
        <v>2197.5659362215615</v>
      </c>
      <c r="P18" s="97">
        <v>28.298582741556981</v>
      </c>
    </row>
    <row r="19" spans="1:16" x14ac:dyDescent="0.2">
      <c r="A19" s="34"/>
      <c r="B19" s="50" t="str">
        <f>VLOOKUP("&lt;T2Zeilentitel_3.2&gt;",Uebersetzungen!$B$3:$E$105,Uebersetzungen!$B$2+1,FALSE)</f>
        <v>25-44</v>
      </c>
      <c r="C19" s="85">
        <v>51762.999999998538</v>
      </c>
      <c r="D19" s="86">
        <v>4.5313758844237304</v>
      </c>
      <c r="E19" s="87">
        <v>37027.362940791034</v>
      </c>
      <c r="F19" s="88">
        <v>5.5191134034675953</v>
      </c>
      <c r="G19" s="93">
        <v>381.86048210102683</v>
      </c>
      <c r="H19" s="94">
        <v>61.610275642203753</v>
      </c>
      <c r="I19" s="89">
        <v>7281.6139605916769</v>
      </c>
      <c r="J19" s="86">
        <v>14.318866785954162</v>
      </c>
      <c r="K19" s="87">
        <v>4925.318543199257</v>
      </c>
      <c r="L19" s="88">
        <v>16.583317705581358</v>
      </c>
      <c r="M19" s="87">
        <v>2746.0003128881353</v>
      </c>
      <c r="N19" s="86">
        <v>23.719208884007141</v>
      </c>
      <c r="O19" s="87">
        <v>9983.1033767159752</v>
      </c>
      <c r="P19" s="90">
        <v>12.614060091244879</v>
      </c>
    </row>
    <row r="20" spans="1:16" x14ac:dyDescent="0.2">
      <c r="A20" s="35"/>
      <c r="B20" s="50" t="str">
        <f>VLOOKUP("&lt;T2Zeilentitel_3.3&gt;",Uebersetzungen!$B$3:$E$105,Uebersetzungen!$B$2+1,FALSE)</f>
        <v>45-64</v>
      </c>
      <c r="C20" s="85">
        <v>59050.999999998596</v>
      </c>
      <c r="D20" s="86">
        <v>3.886206988336121</v>
      </c>
      <c r="E20" s="87">
        <v>42763.485151918765</v>
      </c>
      <c r="F20" s="88">
        <v>4.8125285532452207</v>
      </c>
      <c r="G20" s="93">
        <v>861.76526428892009</v>
      </c>
      <c r="H20" s="94">
        <v>39.534061651412316</v>
      </c>
      <c r="I20" s="89">
        <v>8163.3186097332391</v>
      </c>
      <c r="J20" s="86">
        <v>12.686394417250259</v>
      </c>
      <c r="K20" s="87">
        <v>6875.8073102052631</v>
      </c>
      <c r="L20" s="88">
        <v>13.385782123219593</v>
      </c>
      <c r="M20" s="91">
        <v>1713.4228639972539</v>
      </c>
      <c r="N20" s="94">
        <v>27.907425876992772</v>
      </c>
      <c r="O20" s="87">
        <v>8099.1997744002947</v>
      </c>
      <c r="P20" s="90">
        <v>13.311570337378914</v>
      </c>
    </row>
    <row r="21" spans="1:16" x14ac:dyDescent="0.2">
      <c r="A21" s="35"/>
      <c r="B21" s="50" t="str">
        <f>VLOOKUP("&lt;T2Zeilentitel_3.4&gt;",Uebersetzungen!$B$3:$E$105,Uebersetzungen!$B$2+1,FALSE)</f>
        <v>65 und älter</v>
      </c>
      <c r="C21" s="85">
        <v>46454.999999998785</v>
      </c>
      <c r="D21" s="86">
        <v>4.40915179190395</v>
      </c>
      <c r="E21" s="87">
        <v>36933.009440593392</v>
      </c>
      <c r="F21" s="88">
        <v>5.1180017323781373</v>
      </c>
      <c r="G21" s="93">
        <v>780.49044559242384</v>
      </c>
      <c r="H21" s="94">
        <v>40.281852916123562</v>
      </c>
      <c r="I21" s="89">
        <v>5624.9620261826585</v>
      </c>
      <c r="J21" s="86">
        <v>14.628756519446046</v>
      </c>
      <c r="K21" s="87">
        <v>7237.4810764545246</v>
      </c>
      <c r="L21" s="88">
        <v>12.839704313624596</v>
      </c>
      <c r="M21" s="91">
        <v>1078.1325814003096</v>
      </c>
      <c r="N21" s="94">
        <v>34.209849681972251</v>
      </c>
      <c r="O21" s="87">
        <v>3208.0649181832259</v>
      </c>
      <c r="P21" s="90">
        <v>20.420893535299733</v>
      </c>
    </row>
    <row r="22" spans="1:16" x14ac:dyDescent="0.2">
      <c r="A22" s="31" t="str">
        <f>VLOOKUP("&lt;T2Zeilentitel_4&gt;",Uebersetzungen!$B$3:$E$105,Uebersetzungen!$B$2+1,FALSE)</f>
        <v>Staatsangehörigkeit</v>
      </c>
      <c r="B22" s="48" t="str">
        <f>VLOOKUP("&lt;T2Zeilentitel_4.1&gt;",Uebersetzungen!$B$3:$E$105,Uebersetzungen!$B$2+1,FALSE)</f>
        <v>Schweiz</v>
      </c>
      <c r="C22" s="113">
        <v>139479.99999999587</v>
      </c>
      <c r="D22" s="114">
        <v>1.3160876423396077</v>
      </c>
      <c r="E22" s="115">
        <v>114401.1384096367</v>
      </c>
      <c r="F22" s="116">
        <v>1.9412394037842504</v>
      </c>
      <c r="G22" s="117">
        <v>1573.8592797704114</v>
      </c>
      <c r="H22" s="118">
        <v>28.41829737627922</v>
      </c>
      <c r="I22" s="119">
        <v>14866.749324501026</v>
      </c>
      <c r="J22" s="114">
        <v>8.9474172624170922</v>
      </c>
      <c r="K22" s="115">
        <v>21233.54905903243</v>
      </c>
      <c r="L22" s="116">
        <v>7.3215850256280435</v>
      </c>
      <c r="M22" s="115">
        <v>3458.1586033227145</v>
      </c>
      <c r="N22" s="114">
        <v>19.535694688331116</v>
      </c>
      <c r="O22" s="115">
        <v>5786.6148087953788</v>
      </c>
      <c r="P22" s="120">
        <v>14.739395932347296</v>
      </c>
    </row>
    <row r="23" spans="1:16" x14ac:dyDescent="0.2">
      <c r="A23" s="33"/>
      <c r="B23" s="50" t="str">
        <f>VLOOKUP("&lt;T2Zeilentitel_4.2&gt;",Uebersetzungen!$B$3:$E$105,Uebersetzungen!$B$2+1,FALSE)</f>
        <v>EU und EFTA</v>
      </c>
      <c r="C23" s="85">
        <v>28464.778974147062</v>
      </c>
      <c r="D23" s="86">
        <v>6.8848591999866882</v>
      </c>
      <c r="E23" s="87">
        <v>14193.469746925164</v>
      </c>
      <c r="F23" s="88">
        <v>9.9164944675921785</v>
      </c>
      <c r="G23" s="93">
        <v>511.19175282015226</v>
      </c>
      <c r="H23" s="94">
        <v>56.932640033010948</v>
      </c>
      <c r="I23" s="89">
        <v>7986.8892195482667</v>
      </c>
      <c r="J23" s="86">
        <v>13.772038914815987</v>
      </c>
      <c r="K23" s="93">
        <v>366.98255545242489</v>
      </c>
      <c r="L23" s="92">
        <v>65.030641840119387</v>
      </c>
      <c r="M23" s="87">
        <v>2382.278400772635</v>
      </c>
      <c r="N23" s="86">
        <v>26.21047877782642</v>
      </c>
      <c r="O23" s="87">
        <v>11478.258805034337</v>
      </c>
      <c r="P23" s="90">
        <v>11.638994281671692</v>
      </c>
    </row>
    <row r="24" spans="1:16" x14ac:dyDescent="0.2">
      <c r="A24" s="33"/>
      <c r="B24" s="50" t="str">
        <f>VLOOKUP("&lt;T2Zeilentitel_4.3&gt;",Uebersetzungen!$B$3:$E$105,Uebersetzungen!$B$2+1,FALSE)</f>
        <v>Anderer europäischer Staat</v>
      </c>
      <c r="C24" s="85">
        <v>4405.496763860715</v>
      </c>
      <c r="D24" s="86">
        <v>19.787681889494554</v>
      </c>
      <c r="E24" s="91">
        <v>1241.5102815042535</v>
      </c>
      <c r="F24" s="92">
        <v>38.181991381382417</v>
      </c>
      <c r="G24" s="87" t="s">
        <v>337</v>
      </c>
      <c r="H24" s="86" t="s">
        <v>337</v>
      </c>
      <c r="I24" s="89" t="s">
        <v>337</v>
      </c>
      <c r="J24" s="86" t="s">
        <v>337</v>
      </c>
      <c r="K24" s="87" t="s">
        <v>337</v>
      </c>
      <c r="L24" s="88" t="s">
        <v>337</v>
      </c>
      <c r="M24" s="93">
        <v>683.40693291604236</v>
      </c>
      <c r="N24" s="94">
        <v>49.599665624476735</v>
      </c>
      <c r="O24" s="87">
        <v>3536.3260392892621</v>
      </c>
      <c r="P24" s="90">
        <v>22.021805291661916</v>
      </c>
    </row>
    <row r="25" spans="1:16" x14ac:dyDescent="0.2">
      <c r="A25" s="33"/>
      <c r="B25" s="50" t="str">
        <f>VLOOKUP("&lt;T2Zeilentitel_4.4&gt;",Uebersetzungen!$B$3:$E$105,Uebersetzungen!$B$2+1,FALSE)</f>
        <v>Andere Staaten</v>
      </c>
      <c r="C25" s="85">
        <v>3626.7242619924309</v>
      </c>
      <c r="D25" s="86">
        <v>21.364364793245247</v>
      </c>
      <c r="E25" s="91">
        <v>1257.2978734336129</v>
      </c>
      <c r="F25" s="92">
        <v>38.748745946335426</v>
      </c>
      <c r="G25" s="87" t="s">
        <v>337</v>
      </c>
      <c r="H25" s="86" t="s">
        <v>337</v>
      </c>
      <c r="I25" s="89" t="s">
        <v>337</v>
      </c>
      <c r="J25" s="86" t="s">
        <v>337</v>
      </c>
      <c r="K25" s="87" t="s">
        <v>337</v>
      </c>
      <c r="L25" s="88" t="s">
        <v>337</v>
      </c>
      <c r="M25" s="93">
        <v>441.93190159020617</v>
      </c>
      <c r="N25" s="94">
        <v>56.601839023743473</v>
      </c>
      <c r="O25" s="87">
        <v>2686.7343524020753</v>
      </c>
      <c r="P25" s="90">
        <v>24.741506941119937</v>
      </c>
    </row>
    <row r="26" spans="1:16" x14ac:dyDescent="0.2">
      <c r="A26" s="32"/>
      <c r="B26" s="50" t="str">
        <f>VLOOKUP("&lt;T2Zeilentitel_4.5&gt;",Uebersetzungen!$B$3:$E$105,Uebersetzungen!$B$2+1,FALSE)</f>
        <v>Staatsangehörigkeit unbekannt</v>
      </c>
      <c r="C26" s="121" t="s">
        <v>337</v>
      </c>
      <c r="D26" s="122" t="s">
        <v>337</v>
      </c>
      <c r="E26" s="123" t="s">
        <v>337</v>
      </c>
      <c r="F26" s="109" t="s">
        <v>337</v>
      </c>
      <c r="G26" s="123" t="s">
        <v>337</v>
      </c>
      <c r="H26" s="122" t="s">
        <v>337</v>
      </c>
      <c r="I26" s="108" t="s">
        <v>337</v>
      </c>
      <c r="J26" s="122" t="s">
        <v>337</v>
      </c>
      <c r="K26" s="123" t="s">
        <v>337</v>
      </c>
      <c r="L26" s="109" t="s">
        <v>337</v>
      </c>
      <c r="M26" s="123" t="s">
        <v>337</v>
      </c>
      <c r="N26" s="122" t="s">
        <v>337</v>
      </c>
      <c r="O26" s="123" t="s">
        <v>337</v>
      </c>
      <c r="P26" s="126" t="s">
        <v>337</v>
      </c>
    </row>
    <row r="27" spans="1:16" x14ac:dyDescent="0.2">
      <c r="A27" s="31" t="str">
        <f>VLOOKUP("&lt;T2Zeilentitel_5&gt;",Uebersetzungen!$B$3:$E$105,Uebersetzungen!$B$2+1,FALSE)</f>
        <v>Migrationsstatus</v>
      </c>
      <c r="B27" s="48" t="str">
        <f>VLOOKUP("&lt;T2Zeilentitel_5.1&gt;",Uebersetzungen!$B$3:$E$105,Uebersetzungen!$B$2+1,FALSE)</f>
        <v>Schweizer/innen ohne Migrationshintergrund</v>
      </c>
      <c r="C27" s="85">
        <v>122172.64107475645</v>
      </c>
      <c r="D27" s="86">
        <v>1.7493769218530069</v>
      </c>
      <c r="E27" s="87">
        <v>102051.28677586539</v>
      </c>
      <c r="F27" s="88">
        <v>2.2686064376946034</v>
      </c>
      <c r="G27" s="91">
        <v>1168.593007977237</v>
      </c>
      <c r="H27" s="94">
        <v>33.077363917685062</v>
      </c>
      <c r="I27" s="89">
        <v>11581.979603060936</v>
      </c>
      <c r="J27" s="86">
        <v>10.266805240676391</v>
      </c>
      <c r="K27" s="87">
        <v>20755.031787891181</v>
      </c>
      <c r="L27" s="88">
        <v>7.4184390595343812</v>
      </c>
      <c r="M27" s="87">
        <v>2658.0833400797342</v>
      </c>
      <c r="N27" s="86">
        <v>22.438507391082389</v>
      </c>
      <c r="O27" s="93">
        <v>630.72872749103101</v>
      </c>
      <c r="P27" s="97">
        <v>45.627936003314282</v>
      </c>
    </row>
    <row r="28" spans="1:16" x14ac:dyDescent="0.2">
      <c r="A28" s="33"/>
      <c r="B28" s="50" t="str">
        <f>VLOOKUP("&lt;T2Zeilentitel_5.2&gt;",Uebersetzungen!$B$3:$E$105,Uebersetzungen!$B$2+1,FALSE)</f>
        <v>Schweizer/innen mit Migrationshintergrund</v>
      </c>
      <c r="C28" s="85">
        <v>16792.664144571507</v>
      </c>
      <c r="D28" s="86">
        <v>8.3186880237247642</v>
      </c>
      <c r="E28" s="87">
        <v>11980.029059919209</v>
      </c>
      <c r="F28" s="88">
        <v>10.019685738217438</v>
      </c>
      <c r="G28" s="93">
        <v>405.26627179317489</v>
      </c>
      <c r="H28" s="94">
        <v>55.914982127672047</v>
      </c>
      <c r="I28" s="89">
        <v>3248.9541154223807</v>
      </c>
      <c r="J28" s="86">
        <v>19.671563850622867</v>
      </c>
      <c r="K28" s="93">
        <v>405.7378947388649</v>
      </c>
      <c r="L28" s="92">
        <v>55.79275327136186</v>
      </c>
      <c r="M28" s="93">
        <v>800.07526324298078</v>
      </c>
      <c r="N28" s="94">
        <v>40.286221528997039</v>
      </c>
      <c r="O28" s="87">
        <v>5083.793250890948</v>
      </c>
      <c r="P28" s="90">
        <v>15.740726634297969</v>
      </c>
    </row>
    <row r="29" spans="1:16" x14ac:dyDescent="0.2">
      <c r="A29" s="33"/>
      <c r="B29" s="50" t="str">
        <f>VLOOKUP("&lt;T2Zeilentitel_5.3&gt;",Uebersetzungen!$B$3:$E$105,Uebersetzungen!$B$2+1,FALSE)</f>
        <v>Ausländer/innen der ersten Generation</v>
      </c>
      <c r="C29" s="85">
        <v>34475.342092880506</v>
      </c>
      <c r="D29" s="86">
        <v>6.230446548843374</v>
      </c>
      <c r="E29" s="87">
        <v>15129.337969451652</v>
      </c>
      <c r="F29" s="88">
        <v>9.7434486372217624</v>
      </c>
      <c r="G29" s="93">
        <v>550.09729588582479</v>
      </c>
      <c r="H29" s="94">
        <v>54.633569004977076</v>
      </c>
      <c r="I29" s="89">
        <v>7813.0474672709061</v>
      </c>
      <c r="J29" s="86">
        <v>14.060223170360144</v>
      </c>
      <c r="K29" s="93">
        <v>331.03942181798396</v>
      </c>
      <c r="L29" s="92">
        <v>69.090683731873483</v>
      </c>
      <c r="M29" s="87">
        <v>3468.0756027260395</v>
      </c>
      <c r="N29" s="86">
        <v>21.523777153853757</v>
      </c>
      <c r="O29" s="87">
        <v>17084.316335967364</v>
      </c>
      <c r="P29" s="90">
        <v>9.4812451391280455</v>
      </c>
    </row>
    <row r="30" spans="1:16" ht="25.5" x14ac:dyDescent="0.2">
      <c r="A30" s="33"/>
      <c r="B30" s="50" t="str">
        <f>VLOOKUP("&lt;T2Zeilentitel_5.4&gt;",Uebersetzungen!$B$3:$E$105,Uebersetzungen!$B$2+1,FALSE)</f>
        <v>Ausländer/innen der zweiten und höheren Generation</v>
      </c>
      <c r="C30" s="110">
        <v>2021.6579071196713</v>
      </c>
      <c r="D30" s="94">
        <v>28.076510886061921</v>
      </c>
      <c r="E30" s="91">
        <v>1562.9399324113772</v>
      </c>
      <c r="F30" s="92">
        <v>31.978111890708409</v>
      </c>
      <c r="G30" s="87" t="s">
        <v>337</v>
      </c>
      <c r="H30" s="86" t="s">
        <v>337</v>
      </c>
      <c r="I30" s="95">
        <v>467.16185859792847</v>
      </c>
      <c r="J30" s="94">
        <v>56.124534909926652</v>
      </c>
      <c r="K30" s="87" t="s">
        <v>337</v>
      </c>
      <c r="L30" s="88" t="s">
        <v>337</v>
      </c>
      <c r="M30" s="87" t="s">
        <v>337</v>
      </c>
      <c r="N30" s="86" t="s">
        <v>337</v>
      </c>
      <c r="O30" s="93">
        <v>617.00286075830206</v>
      </c>
      <c r="P30" s="97">
        <v>51.940854552747339</v>
      </c>
    </row>
    <row r="31" spans="1:16" x14ac:dyDescent="0.2">
      <c r="A31" s="32"/>
      <c r="B31" s="50" t="str">
        <f>VLOOKUP("&lt;T2Zeilentitel_5.5&gt;",Uebersetzungen!$B$3:$E$105,Uebersetzungen!$B$2+1,FALSE)</f>
        <v>Migrationshintergrund unbekannt</v>
      </c>
      <c r="C31" s="111">
        <v>514.69478066784814</v>
      </c>
      <c r="D31" s="94">
        <v>50.328158876178726</v>
      </c>
      <c r="E31" s="93">
        <v>369.82257385206231</v>
      </c>
      <c r="F31" s="92">
        <v>58.855785606412567</v>
      </c>
      <c r="G31" s="87" t="s">
        <v>337</v>
      </c>
      <c r="H31" s="86" t="s">
        <v>337</v>
      </c>
      <c r="I31" s="89" t="s">
        <v>337</v>
      </c>
      <c r="J31" s="86" t="s">
        <v>337</v>
      </c>
      <c r="K31" s="87" t="s">
        <v>337</v>
      </c>
      <c r="L31" s="88" t="s">
        <v>337</v>
      </c>
      <c r="M31" s="87" t="s">
        <v>337</v>
      </c>
      <c r="N31" s="86" t="s">
        <v>337</v>
      </c>
      <c r="O31" s="87" t="s">
        <v>337</v>
      </c>
      <c r="P31" s="90" t="s">
        <v>337</v>
      </c>
    </row>
    <row r="32" spans="1:16" x14ac:dyDescent="0.2">
      <c r="A32" s="31" t="str">
        <f>VLOOKUP("&lt;T2Zeilentitel_6&gt;",Uebersetzungen!$B$3:$E$105,Uebersetzungen!$B$2+1,FALSE)</f>
        <v>Arbeitsmarktstatus</v>
      </c>
      <c r="B32" s="48" t="str">
        <f>VLOOKUP("&lt;T2Zeilentitel_6.1&gt;",Uebersetzungen!$B$3:$E$105,Uebersetzungen!$B$2+1,FALSE)</f>
        <v>Erwerbstätige</v>
      </c>
      <c r="C32" s="113">
        <v>110190.32702338927</v>
      </c>
      <c r="D32" s="114">
        <v>2.2402588065625362</v>
      </c>
      <c r="E32" s="115">
        <v>81699.088083211114</v>
      </c>
      <c r="F32" s="116">
        <v>2.9940195570849739</v>
      </c>
      <c r="G32" s="117">
        <v>1054.080039558572</v>
      </c>
      <c r="H32" s="118">
        <v>36.048439865710755</v>
      </c>
      <c r="I32" s="119">
        <v>14031.402360072441</v>
      </c>
      <c r="J32" s="114">
        <v>9.8296873624922636</v>
      </c>
      <c r="K32" s="115">
        <v>12676.32667245522</v>
      </c>
      <c r="L32" s="116">
        <v>9.8597472100199575</v>
      </c>
      <c r="M32" s="115">
        <v>4219.3950270553505</v>
      </c>
      <c r="N32" s="114">
        <v>18.892690742097738</v>
      </c>
      <c r="O32" s="115">
        <v>16738.927318704093</v>
      </c>
      <c r="P32" s="120">
        <v>9.388445967193233</v>
      </c>
    </row>
    <row r="33" spans="1:16" x14ac:dyDescent="0.2">
      <c r="A33" s="33"/>
      <c r="B33" s="50" t="str">
        <f>VLOOKUP("&lt;T2Zeilentitel_6.2&gt;",Uebersetzungen!$B$3:$E$105,Uebersetzungen!$B$2+1,FALSE)</f>
        <v>Erwerbslose</v>
      </c>
      <c r="C33" s="85">
        <v>2284.4069618137946</v>
      </c>
      <c r="D33" s="86">
        <v>25.177421180026492</v>
      </c>
      <c r="E33" s="91">
        <v>1217.8657477733564</v>
      </c>
      <c r="F33" s="92">
        <v>34.031972736198185</v>
      </c>
      <c r="G33" s="87" t="s">
        <v>337</v>
      </c>
      <c r="H33" s="86" t="s">
        <v>337</v>
      </c>
      <c r="I33" s="95">
        <v>564.50542810866125</v>
      </c>
      <c r="J33" s="94">
        <v>52.285648306969065</v>
      </c>
      <c r="K33" s="87" t="s">
        <v>337</v>
      </c>
      <c r="L33" s="88" t="s">
        <v>337</v>
      </c>
      <c r="M33" s="93">
        <v>171.8033438421426</v>
      </c>
      <c r="N33" s="94">
        <v>86.517867666980223</v>
      </c>
      <c r="O33" s="93">
        <v>621.29037745105791</v>
      </c>
      <c r="P33" s="97">
        <v>50.696661180595562</v>
      </c>
    </row>
    <row r="34" spans="1:16" x14ac:dyDescent="0.2">
      <c r="A34" s="32"/>
      <c r="B34" s="50" t="str">
        <f>VLOOKUP("&lt;T2Zeilentitel_6.3&gt;",Uebersetzungen!$B$3:$E$105,Uebersetzungen!$B$2+1,FALSE)</f>
        <v>Nichterwerbspersonen</v>
      </c>
      <c r="C34" s="121">
        <v>63502.266014792644</v>
      </c>
      <c r="D34" s="122">
        <v>3.6135246280747295</v>
      </c>
      <c r="E34" s="123">
        <v>48176.462480514951</v>
      </c>
      <c r="F34" s="109">
        <v>4.3902610456295204</v>
      </c>
      <c r="G34" s="124">
        <v>1035.8905194935523</v>
      </c>
      <c r="H34" s="125">
        <v>36.392798624214969</v>
      </c>
      <c r="I34" s="108">
        <v>8551.0508621887493</v>
      </c>
      <c r="J34" s="122">
        <v>12.066047151946993</v>
      </c>
      <c r="K34" s="123">
        <v>8901.392084348694</v>
      </c>
      <c r="L34" s="109">
        <v>11.624873512604601</v>
      </c>
      <c r="M34" s="123">
        <v>2574.5774677041036</v>
      </c>
      <c r="N34" s="122">
        <v>23.354318029005043</v>
      </c>
      <c r="O34" s="123">
        <v>6127.7163093658828</v>
      </c>
      <c r="P34" s="126">
        <v>15.40253278396292</v>
      </c>
    </row>
    <row r="35" spans="1:16" x14ac:dyDescent="0.2">
      <c r="A35" s="33" t="str">
        <f>VLOOKUP("&lt;T2Zeilentitel_7&gt;",Uebersetzungen!$B$3:$E$105,Uebersetzungen!$B$2+1,FALSE)</f>
        <v>Sozioprofessionelle Kategorien</v>
      </c>
      <c r="B35" s="48" t="str">
        <f>VLOOKUP("&lt;T2Zeilentitel_7.1&gt;",Uebersetzungen!$B$3:$E$105,Uebersetzungen!$B$2+1,FALSE)</f>
        <v>Oberstes Management</v>
      </c>
      <c r="C35" s="85">
        <v>2591.821881584016</v>
      </c>
      <c r="D35" s="86">
        <v>22.096779166267048</v>
      </c>
      <c r="E35" s="87">
        <v>2151.7875913724074</v>
      </c>
      <c r="F35" s="88">
        <v>24.315499355841158</v>
      </c>
      <c r="G35" s="87" t="s">
        <v>337</v>
      </c>
      <c r="H35" s="86" t="s">
        <v>337</v>
      </c>
      <c r="I35" s="95">
        <v>333.65354441583395</v>
      </c>
      <c r="J35" s="94">
        <v>61.132470971660659</v>
      </c>
      <c r="K35" s="93">
        <v>293.5291821494734</v>
      </c>
      <c r="L35" s="92">
        <v>64.479563188494012</v>
      </c>
      <c r="M35" s="93">
        <v>189.33247723973378</v>
      </c>
      <c r="N35" s="94">
        <v>86.89365672295547</v>
      </c>
      <c r="O35" s="87" t="s">
        <v>337</v>
      </c>
      <c r="P35" s="90" t="s">
        <v>337</v>
      </c>
    </row>
    <row r="36" spans="1:16" x14ac:dyDescent="0.2">
      <c r="A36" s="34"/>
      <c r="B36" s="50" t="str">
        <f>VLOOKUP("&lt;T2Zeilentitel_7.2&gt;",Uebersetzungen!$B$3:$E$105,Uebersetzungen!$B$2+1,FALSE)</f>
        <v>Freie und gleichgestellte Berufe</v>
      </c>
      <c r="C36" s="85">
        <v>2772.6059416691332</v>
      </c>
      <c r="D36" s="86">
        <v>21.257825256075535</v>
      </c>
      <c r="E36" s="87">
        <v>2184.0683654631134</v>
      </c>
      <c r="F36" s="88">
        <v>23.920321240424641</v>
      </c>
      <c r="G36" s="87" t="s">
        <v>337</v>
      </c>
      <c r="H36" s="86" t="s">
        <v>337</v>
      </c>
      <c r="I36" s="95">
        <v>372.84566796040355</v>
      </c>
      <c r="J36" s="94">
        <v>58.508862459026005</v>
      </c>
      <c r="K36" s="93">
        <v>310.38075161857637</v>
      </c>
      <c r="L36" s="92">
        <v>64.574587589374346</v>
      </c>
      <c r="M36" s="93">
        <v>170.36797985941683</v>
      </c>
      <c r="N36" s="94">
        <v>86.641753939655217</v>
      </c>
      <c r="O36" s="93">
        <v>293.66396319995158</v>
      </c>
      <c r="P36" s="97">
        <v>68.806828653042558</v>
      </c>
    </row>
    <row r="37" spans="1:16" x14ac:dyDescent="0.2">
      <c r="A37" s="35"/>
      <c r="B37" s="50" t="str">
        <f>VLOOKUP("&lt;T2Zeilentitel_7.3&gt;",Uebersetzungen!$B$3:$E$105,Uebersetzungen!$B$2+1,FALSE)</f>
        <v>Andere Selbstständige</v>
      </c>
      <c r="C37" s="85">
        <v>13585.627488911183</v>
      </c>
      <c r="D37" s="86">
        <v>9.6193425282333873</v>
      </c>
      <c r="E37" s="87">
        <v>10555.40721428275</v>
      </c>
      <c r="F37" s="88">
        <v>10.95338148465258</v>
      </c>
      <c r="G37" s="93">
        <v>217.51009112802751</v>
      </c>
      <c r="H37" s="94">
        <v>79.097580283537638</v>
      </c>
      <c r="I37" s="89">
        <v>1879.0928849568215</v>
      </c>
      <c r="J37" s="86">
        <v>27.144929943032462</v>
      </c>
      <c r="K37" s="87">
        <v>1803.5619132369377</v>
      </c>
      <c r="L37" s="88">
        <v>27.035869495049052</v>
      </c>
      <c r="M37" s="93">
        <v>326.39801302878061</v>
      </c>
      <c r="N37" s="94">
        <v>64.654294823793421</v>
      </c>
      <c r="O37" s="91">
        <v>1020.9595411116147</v>
      </c>
      <c r="P37" s="97">
        <v>38.798637911980556</v>
      </c>
    </row>
    <row r="38" spans="1:16" x14ac:dyDescent="0.2">
      <c r="A38" s="35"/>
      <c r="B38" s="50" t="str">
        <f>VLOOKUP("&lt;T2Zeilentitel_7.4&gt;",Uebersetzungen!$B$3:$E$105,Uebersetzungen!$B$2+1,FALSE)</f>
        <v>Akademische Berufe und oberes Kader</v>
      </c>
      <c r="C38" s="85">
        <v>16516.630569380319</v>
      </c>
      <c r="D38" s="86">
        <v>8.5095799786306721</v>
      </c>
      <c r="E38" s="87">
        <v>13309.97183079133</v>
      </c>
      <c r="F38" s="88">
        <v>9.5414837166161366</v>
      </c>
      <c r="G38" s="93">
        <v>162.30556199516667</v>
      </c>
      <c r="H38" s="94">
        <v>86.503226816603231</v>
      </c>
      <c r="I38" s="89">
        <v>1839.9422571189698</v>
      </c>
      <c r="J38" s="86">
        <v>27.200697390980004</v>
      </c>
      <c r="K38" s="91">
        <v>1419.0193975242714</v>
      </c>
      <c r="L38" s="92">
        <v>29.794561170014184</v>
      </c>
      <c r="M38" s="91">
        <v>1067.7634386411157</v>
      </c>
      <c r="N38" s="94">
        <v>35.552650858053603</v>
      </c>
      <c r="O38" s="91">
        <v>1536.6378355227769</v>
      </c>
      <c r="P38" s="97">
        <v>30.109287096457834</v>
      </c>
    </row>
    <row r="39" spans="1:16" x14ac:dyDescent="0.2">
      <c r="A39" s="35"/>
      <c r="B39" s="50" t="str">
        <f>VLOOKUP("&lt;T2Zeilentitel_7.5&gt;",Uebersetzungen!$B$3:$E$105,Uebersetzungen!$B$2+1,FALSE)</f>
        <v>Intermediäre Berufe</v>
      </c>
      <c r="C39" s="85">
        <v>31500.389602709791</v>
      </c>
      <c r="D39" s="86">
        <v>6.0706703697586724</v>
      </c>
      <c r="E39" s="87">
        <v>24111.088376587599</v>
      </c>
      <c r="F39" s="88">
        <v>6.9939866640546029</v>
      </c>
      <c r="G39" s="93">
        <v>178.81720304027189</v>
      </c>
      <c r="H39" s="94">
        <v>87.215592355014849</v>
      </c>
      <c r="I39" s="89">
        <v>3469.6914078180898</v>
      </c>
      <c r="J39" s="86">
        <v>20.58783693862847</v>
      </c>
      <c r="K39" s="87">
        <v>3506.6831773805748</v>
      </c>
      <c r="L39" s="88">
        <v>19.25022051206042</v>
      </c>
      <c r="M39" s="91">
        <v>1099.8472666576699</v>
      </c>
      <c r="N39" s="94">
        <v>38.696182643602839</v>
      </c>
      <c r="O39" s="87">
        <v>4896.0071864027404</v>
      </c>
      <c r="P39" s="90">
        <v>18.034548214510203</v>
      </c>
    </row>
    <row r="40" spans="1:16" x14ac:dyDescent="0.2">
      <c r="A40" s="35"/>
      <c r="B40" s="50" t="str">
        <f>VLOOKUP("&lt;T2Zeilentitel_7.6&gt;",Uebersetzungen!$B$3:$E$105,Uebersetzungen!$B$2+1,FALSE)</f>
        <v>Qualifizierte nichtmanuelle Berufe</v>
      </c>
      <c r="C40" s="85">
        <v>23605.686619492506</v>
      </c>
      <c r="D40" s="86">
        <v>7.0821137163126417</v>
      </c>
      <c r="E40" s="87">
        <v>18101.714722897883</v>
      </c>
      <c r="F40" s="88">
        <v>8.146465808787843</v>
      </c>
      <c r="G40" s="93">
        <v>203.4704720731259</v>
      </c>
      <c r="H40" s="94">
        <v>87.05994132554487</v>
      </c>
      <c r="I40" s="89">
        <v>2861.043830575129</v>
      </c>
      <c r="J40" s="86">
        <v>21.961962409258032</v>
      </c>
      <c r="K40" s="87">
        <v>2896.9714378666245</v>
      </c>
      <c r="L40" s="88">
        <v>21.393208340217999</v>
      </c>
      <c r="M40" s="93">
        <v>631.16694805590589</v>
      </c>
      <c r="N40" s="94">
        <v>51.390340501006442</v>
      </c>
      <c r="O40" s="87">
        <v>2694.8866011488108</v>
      </c>
      <c r="P40" s="90">
        <v>23.831837033184303</v>
      </c>
    </row>
    <row r="41" spans="1:16" x14ac:dyDescent="0.2">
      <c r="A41" s="35"/>
      <c r="B41" s="50" t="str">
        <f>VLOOKUP("&lt;T2Zeilentitel_7.7&gt;",Uebersetzungen!$B$3:$E$105,Uebersetzungen!$B$2+1,FALSE)</f>
        <v>Qualifizierte manuelle Berufe</v>
      </c>
      <c r="C41" s="85">
        <v>9675.5097240627765</v>
      </c>
      <c r="D41" s="86">
        <v>12.183978199175273</v>
      </c>
      <c r="E41" s="87">
        <v>6366.5857039047442</v>
      </c>
      <c r="F41" s="88">
        <v>14.871506911170373</v>
      </c>
      <c r="G41" s="87" t="s">
        <v>337</v>
      </c>
      <c r="H41" s="86" t="s">
        <v>337</v>
      </c>
      <c r="I41" s="96">
        <v>1436.1238119647735</v>
      </c>
      <c r="J41" s="94">
        <v>34.233505667458004</v>
      </c>
      <c r="K41" s="91">
        <v>1593.0270923431694</v>
      </c>
      <c r="L41" s="92">
        <v>29.114658061551022</v>
      </c>
      <c r="M41" s="93">
        <v>453.61741292873307</v>
      </c>
      <c r="N41" s="94">
        <v>62.090359472783817</v>
      </c>
      <c r="O41" s="91">
        <v>1866.5949069473972</v>
      </c>
      <c r="P41" s="97">
        <v>30.983620738968</v>
      </c>
    </row>
    <row r="42" spans="1:16" x14ac:dyDescent="0.2">
      <c r="A42" s="35"/>
      <c r="B42" s="50" t="str">
        <f>VLOOKUP("&lt;T2Zeilentitel_7.8&gt;",Uebersetzungen!$B$3:$E$105,Uebersetzungen!$B$2+1,FALSE)</f>
        <v>Ungelernte Angestellte und Arbeiter</v>
      </c>
      <c r="C42" s="85">
        <v>5853.1832767080768</v>
      </c>
      <c r="D42" s="86">
        <v>16.140312244326317</v>
      </c>
      <c r="E42" s="91">
        <v>1726.6262333080717</v>
      </c>
      <c r="F42" s="92">
        <v>28.704747207559841</v>
      </c>
      <c r="G42" s="87" t="s">
        <v>337</v>
      </c>
      <c r="H42" s="86" t="s">
        <v>337</v>
      </c>
      <c r="I42" s="96">
        <v>1269.9019638196214</v>
      </c>
      <c r="J42" s="94">
        <v>35.073434894767509</v>
      </c>
      <c r="K42" s="93">
        <v>396.52541015429495</v>
      </c>
      <c r="L42" s="92">
        <v>58.78898794804072</v>
      </c>
      <c r="M42" s="87" t="s">
        <v>337</v>
      </c>
      <c r="N42" s="86" t="s">
        <v>337</v>
      </c>
      <c r="O42" s="87">
        <v>3560.8120520857424</v>
      </c>
      <c r="P42" s="90">
        <v>21.256497976492557</v>
      </c>
    </row>
    <row r="43" spans="1:16" ht="25.5" customHeight="1" x14ac:dyDescent="0.2">
      <c r="A43" s="35"/>
      <c r="B43" s="50" t="str">
        <f>VLOOKUP("&lt;T2Zeilentitel_7.9&gt;",Uebersetzungen!$B$3:$E$105,Uebersetzungen!$B$2+1,FALSE)</f>
        <v>Lernende in dualer beruflicher Grundbildung (Lehrlinge)</v>
      </c>
      <c r="C43" s="85">
        <v>2635.7418494780122</v>
      </c>
      <c r="D43" s="86">
        <v>22.722475697722587</v>
      </c>
      <c r="E43" s="87">
        <v>2111.2199183245684</v>
      </c>
      <c r="F43" s="88">
        <v>24.962639370474221</v>
      </c>
      <c r="G43" s="87" t="s">
        <v>337</v>
      </c>
      <c r="H43" s="86" t="s">
        <v>337</v>
      </c>
      <c r="I43" s="95">
        <v>370.14272687040875</v>
      </c>
      <c r="J43" s="94">
        <v>62.102753991016947</v>
      </c>
      <c r="K43" s="93">
        <v>239.68469041508206</v>
      </c>
      <c r="L43" s="92">
        <v>73.102626485792726</v>
      </c>
      <c r="M43" s="87" t="s">
        <v>337</v>
      </c>
      <c r="N43" s="86" t="s">
        <v>337</v>
      </c>
      <c r="O43" s="93">
        <v>343.40201108675888</v>
      </c>
      <c r="P43" s="97">
        <v>69.39077731272846</v>
      </c>
    </row>
    <row r="44" spans="1:16" ht="38.25" x14ac:dyDescent="0.2">
      <c r="A44" s="35"/>
      <c r="B44" s="50" t="str">
        <f>VLOOKUP("&lt;T2Zeilentitel_7.10&gt;",Uebersetzungen!$B$3:$E$105,Uebersetzungen!$B$2+1,FALSE)</f>
        <v>Nicht zuteilbare Erwerbstätige (fehlende oder unklare Basisdaten oder unplausible Kombination)</v>
      </c>
      <c r="C44" s="110">
        <v>1453.1300693931603</v>
      </c>
      <c r="D44" s="94">
        <v>31.192680984634492</v>
      </c>
      <c r="E44" s="91">
        <v>1080.6181262785612</v>
      </c>
      <c r="F44" s="92">
        <v>36.2835951402418</v>
      </c>
      <c r="G44" s="87" t="s">
        <v>337</v>
      </c>
      <c r="H44" s="86" t="s">
        <v>337</v>
      </c>
      <c r="I44" s="95">
        <v>198.96426457240537</v>
      </c>
      <c r="J44" s="94">
        <v>86.945515766140616</v>
      </c>
      <c r="K44" s="93">
        <v>216.94361976621209</v>
      </c>
      <c r="L44" s="92">
        <v>79.16459503305623</v>
      </c>
      <c r="M44" s="87" t="s">
        <v>337</v>
      </c>
      <c r="N44" s="86" t="s">
        <v>337</v>
      </c>
      <c r="O44" s="93">
        <v>385.67496286515365</v>
      </c>
      <c r="P44" s="97">
        <v>61.752300253977346</v>
      </c>
    </row>
    <row r="45" spans="1:16" x14ac:dyDescent="0.2">
      <c r="A45" s="35"/>
      <c r="B45" s="50" t="str">
        <f>VLOOKUP("&lt;T2Zeilentitel_7.11&gt;",Uebersetzungen!$B$3:$E$105,Uebersetzungen!$B$2+1,FALSE)</f>
        <v>Erwerbslose und Nichterwerbspersonen</v>
      </c>
      <c r="C45" s="85">
        <v>65786.672976606395</v>
      </c>
      <c r="D45" s="86">
        <v>3.5246268704900596</v>
      </c>
      <c r="E45" s="87">
        <v>49394.328228288279</v>
      </c>
      <c r="F45" s="88">
        <v>4.3215023675714992</v>
      </c>
      <c r="G45" s="91">
        <v>1069.8765360976643</v>
      </c>
      <c r="H45" s="94">
        <v>35.760870623412295</v>
      </c>
      <c r="I45" s="89">
        <v>9115.5562902974089</v>
      </c>
      <c r="J45" s="86">
        <v>11.735409674740762</v>
      </c>
      <c r="K45" s="87">
        <v>8971.8230786375861</v>
      </c>
      <c r="L45" s="88">
        <v>11.578505205489041</v>
      </c>
      <c r="M45" s="87">
        <v>2746.3808115462471</v>
      </c>
      <c r="N45" s="86">
        <v>22.532709087656773</v>
      </c>
      <c r="O45" s="87">
        <v>6749.0066868169442</v>
      </c>
      <c r="P45" s="90">
        <v>14.699797031670782</v>
      </c>
    </row>
    <row r="46" spans="1:16" ht="12.75" customHeight="1" x14ac:dyDescent="0.2">
      <c r="A46" s="31" t="str">
        <f>VLOOKUP("&lt;T2Zeilentitel_8&gt;",Uebersetzungen!$B$3:$E$105,Uebersetzungen!$B$2+1,FALSE)</f>
        <v>Höchste abgeschlossene Ausbildung</v>
      </c>
      <c r="B46" s="48" t="str">
        <f>VLOOKUP("&lt;T2Zeilentitel_8.1&gt;",Uebersetzungen!$B$3:$E$105,Uebersetzungen!$B$2+1,FALSE)</f>
        <v>Ohne nachobligatorische Aubildung</v>
      </c>
      <c r="C46" s="113">
        <v>32938.13710136617</v>
      </c>
      <c r="D46" s="114">
        <v>5.9139819080388278</v>
      </c>
      <c r="E46" s="115">
        <v>18171.057105847267</v>
      </c>
      <c r="F46" s="116">
        <v>8.1062534048342023</v>
      </c>
      <c r="G46" s="127">
        <v>300.10640627305747</v>
      </c>
      <c r="H46" s="118">
        <v>68.534423058830285</v>
      </c>
      <c r="I46" s="119">
        <v>6797.2950732091085</v>
      </c>
      <c r="J46" s="114">
        <v>14.152525446760686</v>
      </c>
      <c r="K46" s="115">
        <v>4565.4660594089319</v>
      </c>
      <c r="L46" s="116">
        <v>16.589081354854564</v>
      </c>
      <c r="M46" s="127">
        <v>869.77813975155027</v>
      </c>
      <c r="N46" s="118">
        <v>40.691846817837352</v>
      </c>
      <c r="O46" s="115">
        <v>8732.4237460558288</v>
      </c>
      <c r="P46" s="120">
        <v>13.224112154461523</v>
      </c>
    </row>
    <row r="47" spans="1:16" x14ac:dyDescent="0.2">
      <c r="A47" s="35"/>
      <c r="B47" s="50" t="str">
        <f>VLOOKUP("&lt;T2Zeilentitel_8.2&gt;",Uebersetzungen!$B$3:$E$105,Uebersetzungen!$B$2+1,FALSE)</f>
        <v>Sekundarstufe II</v>
      </c>
      <c r="C47" s="85">
        <v>81217.846845221968</v>
      </c>
      <c r="D47" s="86">
        <v>3.0408354358788965</v>
      </c>
      <c r="E47" s="87">
        <v>62557.457505211438</v>
      </c>
      <c r="F47" s="88">
        <v>3.7258480570695522</v>
      </c>
      <c r="G47" s="93">
        <v>721.65363631966659</v>
      </c>
      <c r="H47" s="94">
        <v>43.43000619716868</v>
      </c>
      <c r="I47" s="89">
        <v>10597.161569459067</v>
      </c>
      <c r="J47" s="86">
        <v>11.275173765133898</v>
      </c>
      <c r="K47" s="87">
        <v>10527.533254680133</v>
      </c>
      <c r="L47" s="88">
        <v>10.817111239741031</v>
      </c>
      <c r="M47" s="87">
        <v>2380.7163397321433</v>
      </c>
      <c r="N47" s="86">
        <v>25.927019076925212</v>
      </c>
      <c r="O47" s="87">
        <v>8639.9511403963297</v>
      </c>
      <c r="P47" s="90">
        <v>13.467811450445735</v>
      </c>
    </row>
    <row r="48" spans="1:16" ht="13.5" thickBot="1" x14ac:dyDescent="0.25">
      <c r="A48" s="36"/>
      <c r="B48" s="51" t="str">
        <f>VLOOKUP("&lt;T2Zeilentitel_8.3&gt;",Uebersetzungen!$B$3:$E$105,Uebersetzungen!$B$2+1,FALSE)</f>
        <v>Tertiärstufe</v>
      </c>
      <c r="C48" s="100">
        <v>61821.016053407497</v>
      </c>
      <c r="D48" s="101">
        <v>3.7375170185912698</v>
      </c>
      <c r="E48" s="102">
        <v>50364.90170044051</v>
      </c>
      <c r="F48" s="103">
        <v>4.3071131318526001</v>
      </c>
      <c r="G48" s="106">
        <v>1102.1965330635123</v>
      </c>
      <c r="H48" s="105">
        <v>35.204249881439949</v>
      </c>
      <c r="I48" s="112">
        <v>5752.5020077016834</v>
      </c>
      <c r="J48" s="101">
        <v>15.16014136359235</v>
      </c>
      <c r="K48" s="102">
        <v>6555.1504370037428</v>
      </c>
      <c r="L48" s="103">
        <v>13.824564565321891</v>
      </c>
      <c r="M48" s="102">
        <v>3715.2813591179042</v>
      </c>
      <c r="N48" s="101">
        <v>19.335085918813235</v>
      </c>
      <c r="O48" s="102">
        <v>6115.5591190689029</v>
      </c>
      <c r="P48" s="107">
        <v>15.256473876624353</v>
      </c>
    </row>
    <row r="49" spans="1:16" x14ac:dyDescent="0.2">
      <c r="A49" s="26"/>
      <c r="B49" s="19"/>
      <c r="C49" s="27"/>
      <c r="D49" s="28"/>
      <c r="E49" s="28"/>
      <c r="F49" s="28"/>
      <c r="G49" s="28"/>
      <c r="H49" s="28"/>
      <c r="I49" s="28"/>
      <c r="J49" s="28"/>
      <c r="K49" s="28"/>
      <c r="L49" s="28"/>
      <c r="M49" s="27"/>
      <c r="N49" s="28"/>
      <c r="O49" s="29"/>
      <c r="P49" s="28"/>
    </row>
    <row r="50" spans="1:16" x14ac:dyDescent="0.2">
      <c r="A50" s="14" t="str">
        <f>VLOOKUP("&lt;Legende_1&gt;",Uebersetzungen!$B$3:$E$54,Uebersetzungen!$B$2+1,FALSE)</f>
        <v>Die Befragten konnten mehrere Hauptsprachen nennen.</v>
      </c>
    </row>
    <row r="51" spans="1:16" x14ac:dyDescent="0.2">
      <c r="A51" s="14" t="str">
        <f>VLOOKUP("&lt;Legende_2&gt;",Uebersetzungen!$B$3:$E$54,Uebersetzungen!$B$2+1,FALSE)</f>
        <v>(): Extrapolation aufgrund von 49 oder weniger Beobachtungen. Die Resultate sind mit grosser Vorsicht zu interpretieren.</v>
      </c>
    </row>
    <row r="52" spans="1:16" x14ac:dyDescent="0.2">
      <c r="A52" s="14" t="str">
        <f>VLOOKUP("&lt;Legende_3&gt;",Uebersetzungen!$B$3:$E$54,Uebersetzungen!$B$2+1,FALSE)</f>
        <v>X: Extrapolation aufgrund von 4 oder weniger Beobachtungen. Die Resultate werden aus Gründen des Datenschutzes nicht publiziert.</v>
      </c>
    </row>
    <row r="53" spans="1:16" x14ac:dyDescent="0.2">
      <c r="A53" s="14" t="str">
        <f>VLOOKUP("&lt;Legende_4&gt;",Uebersetzungen!$B$3:$E$54,Uebersetzungen!$B$2+1,FALSE)</f>
        <v>Die Grundgesamtheit der Strukturerhebung enthält alle Personen der ständigen Wohnbevölkerung ab vollendetem 15. Altersjahr, die in Privathaushalten leben.</v>
      </c>
    </row>
    <row r="54" spans="1:16" x14ac:dyDescent="0.2">
      <c r="A54" s="7"/>
    </row>
    <row r="55" spans="1:16" x14ac:dyDescent="0.2">
      <c r="A55" s="7" t="str">
        <f>VLOOKUP("&lt;Quelle_1&gt;",Uebersetzungen!$B$3:$E$105,Uebersetzungen!$B$2+1,FALSE)</f>
        <v>Quelle: BFS (Strukturerhebung)</v>
      </c>
    </row>
    <row r="56" spans="1:16" x14ac:dyDescent="0.2">
      <c r="A56" s="6" t="str">
        <f>VLOOKUP("&lt;T2Aktualisierung&gt;",Uebersetzungen!$B$3:$E$105,Uebersetzungen!$B$2+1,FALSE)</f>
        <v>Letztmals aktualisiert am: 05.03.2026</v>
      </c>
    </row>
    <row r="57" spans="1:16" x14ac:dyDescent="0.2">
      <c r="B57" s="9"/>
      <c r="N57" s="9"/>
    </row>
    <row r="59" spans="1:16" x14ac:dyDescent="0.2">
      <c r="B59" s="10"/>
      <c r="N59" s="10"/>
    </row>
    <row r="60" spans="1:16" x14ac:dyDescent="0.2">
      <c r="N60" s="9"/>
      <c r="O60" s="9"/>
      <c r="P60" s="9"/>
    </row>
  </sheetData>
  <sheetProtection sheet="1" objects="1" scenarios="1"/>
  <mergeCells count="10">
    <mergeCell ref="A7:D7"/>
    <mergeCell ref="B13:B14"/>
    <mergeCell ref="C13:D13"/>
    <mergeCell ref="M13:N13"/>
    <mergeCell ref="O13:P13"/>
    <mergeCell ref="C12:P12"/>
    <mergeCell ref="E13:F13"/>
    <mergeCell ref="G13:H13"/>
    <mergeCell ref="I13:J13"/>
    <mergeCell ref="K13:L13"/>
  </mergeCells>
  <pageMargins left="0.7" right="0.7" top="0.78740157499999996" bottom="0.78740157499999996" header="0.3" footer="0.3"/>
  <pageSetup paperSize="9" scale="38" orientation="portrait" horizontalDpi="90" verticalDpi="9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Option Button 1">
              <controlPr defaultSize="0" autoFill="0" autoLine="0" autoPict="0">
                <anchor moveWithCells="1">
                  <from>
                    <xdr:col>3</xdr:col>
                    <xdr:colOff>190500</xdr:colOff>
                    <xdr:row>1</xdr:row>
                    <xdr:rowOff>123825</xdr:rowOff>
                  </from>
                  <to>
                    <xdr:col>4</xdr:col>
                    <xdr:colOff>609600</xdr:colOff>
                    <xdr:row>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Option Button 2">
              <controlPr defaultSize="0" autoFill="0" autoLine="0" autoPict="0">
                <anchor moveWithCells="1">
                  <from>
                    <xdr:col>3</xdr:col>
                    <xdr:colOff>190500</xdr:colOff>
                    <xdr:row>2</xdr:row>
                    <xdr:rowOff>114300</xdr:rowOff>
                  </from>
                  <to>
                    <xdr:col>5</xdr:col>
                    <xdr:colOff>276225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Option Button 3">
              <controlPr defaultSize="0" autoFill="0" autoLine="0" autoPict="0">
                <anchor moveWithCells="1">
                  <from>
                    <xdr:col>3</xdr:col>
                    <xdr:colOff>190500</xdr:colOff>
                    <xdr:row>3</xdr:row>
                    <xdr:rowOff>76200</xdr:rowOff>
                  </from>
                  <to>
                    <xdr:col>4</xdr:col>
                    <xdr:colOff>609600</xdr:colOff>
                    <xdr:row>4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4"/>
  <sheetViews>
    <sheetView topLeftCell="A64" workbookViewId="0">
      <selection activeCell="G103" sqref="G103"/>
    </sheetView>
  </sheetViews>
  <sheetFormatPr baseColWidth="10" defaultColWidth="11" defaultRowHeight="12.75" x14ac:dyDescent="0.2"/>
  <cols>
    <col min="1" max="1" width="7.5" style="21" bestFit="1" customWidth="1"/>
    <col min="2" max="2" width="15.5" style="21" bestFit="1" customWidth="1"/>
    <col min="3" max="3" width="40.875" style="21" bestFit="1" customWidth="1"/>
    <col min="4" max="4" width="41.625" style="21" bestFit="1" customWidth="1"/>
    <col min="5" max="5" width="41.125" style="21" bestFit="1" customWidth="1"/>
    <col min="6" max="16384" width="11" style="21"/>
  </cols>
  <sheetData>
    <row r="1" spans="1:6" x14ac:dyDescent="0.2">
      <c r="A1" s="15" t="s">
        <v>56</v>
      </c>
      <c r="B1" s="15" t="s">
        <v>57</v>
      </c>
      <c r="C1" s="15" t="s">
        <v>58</v>
      </c>
      <c r="D1" s="15" t="s">
        <v>59</v>
      </c>
      <c r="E1" s="15" t="s">
        <v>60</v>
      </c>
      <c r="F1" s="16"/>
    </row>
    <row r="2" spans="1:6" x14ac:dyDescent="0.2">
      <c r="A2" s="22" t="s">
        <v>61</v>
      </c>
      <c r="B2" s="23">
        <v>1</v>
      </c>
      <c r="C2" s="16"/>
      <c r="D2" s="16"/>
      <c r="E2" s="16"/>
      <c r="F2" s="16"/>
    </row>
    <row r="3" spans="1:6" x14ac:dyDescent="0.2">
      <c r="A3" s="22"/>
      <c r="B3" s="21" t="s">
        <v>63</v>
      </c>
      <c r="C3" s="17" t="s">
        <v>64</v>
      </c>
      <c r="D3" s="17" t="s">
        <v>65</v>
      </c>
      <c r="E3" s="17" t="s">
        <v>66</v>
      </c>
      <c r="F3" s="16"/>
    </row>
    <row r="4" spans="1:6" ht="25.5" x14ac:dyDescent="0.2">
      <c r="A4" s="22" t="s">
        <v>62</v>
      </c>
      <c r="B4" s="18" t="s">
        <v>67</v>
      </c>
      <c r="C4" s="18" t="s">
        <v>255</v>
      </c>
      <c r="D4" s="18" t="s">
        <v>277</v>
      </c>
      <c r="E4" s="18" t="s">
        <v>278</v>
      </c>
      <c r="F4" s="16"/>
    </row>
    <row r="5" spans="1:6" x14ac:dyDescent="0.2">
      <c r="A5" s="22"/>
      <c r="B5" s="21" t="s">
        <v>84</v>
      </c>
      <c r="C5" s="40" t="s">
        <v>256</v>
      </c>
      <c r="D5" s="40" t="s">
        <v>257</v>
      </c>
      <c r="E5" s="40" t="s">
        <v>258</v>
      </c>
      <c r="F5" s="16"/>
    </row>
    <row r="6" spans="1:6" x14ac:dyDescent="0.2">
      <c r="A6" s="22"/>
      <c r="B6" s="22"/>
      <c r="C6" s="22"/>
      <c r="D6" s="22"/>
      <c r="E6" s="22"/>
      <c r="F6" s="16"/>
    </row>
    <row r="7" spans="1:6" ht="14.25" customHeight="1" x14ac:dyDescent="0.2">
      <c r="A7" s="22" t="s">
        <v>105</v>
      </c>
      <c r="B7" s="21" t="s">
        <v>68</v>
      </c>
      <c r="C7" s="17" t="s">
        <v>0</v>
      </c>
      <c r="D7" s="17" t="s">
        <v>0</v>
      </c>
      <c r="E7" s="17" t="s">
        <v>144</v>
      </c>
      <c r="F7" s="16"/>
    </row>
    <row r="8" spans="1:6" x14ac:dyDescent="0.2">
      <c r="A8" s="22"/>
      <c r="B8" s="21" t="s">
        <v>69</v>
      </c>
      <c r="C8" s="17" t="s">
        <v>259</v>
      </c>
      <c r="D8" s="17" t="s">
        <v>271</v>
      </c>
      <c r="E8" s="17" t="s">
        <v>265</v>
      </c>
      <c r="F8" s="16"/>
    </row>
    <row r="9" spans="1:6" x14ac:dyDescent="0.2">
      <c r="A9" s="22"/>
      <c r="B9" s="21" t="s">
        <v>70</v>
      </c>
      <c r="C9" s="17" t="s">
        <v>260</v>
      </c>
      <c r="D9" s="17" t="s">
        <v>272</v>
      </c>
      <c r="E9" s="17" t="s">
        <v>269</v>
      </c>
      <c r="F9" s="16"/>
    </row>
    <row r="10" spans="1:6" ht="25.5" x14ac:dyDescent="0.2">
      <c r="A10" s="22"/>
      <c r="B10" s="21" t="s">
        <v>234</v>
      </c>
      <c r="C10" s="17" t="s">
        <v>261</v>
      </c>
      <c r="D10" s="17" t="s">
        <v>273</v>
      </c>
      <c r="E10" s="17" t="s">
        <v>270</v>
      </c>
      <c r="F10" s="16"/>
    </row>
    <row r="11" spans="1:6" x14ac:dyDescent="0.2">
      <c r="A11" s="22"/>
      <c r="B11" s="21" t="s">
        <v>251</v>
      </c>
      <c r="C11" s="17" t="s">
        <v>262</v>
      </c>
      <c r="D11" s="17" t="s">
        <v>276</v>
      </c>
      <c r="E11" s="17" t="s">
        <v>266</v>
      </c>
      <c r="F11" s="16"/>
    </row>
    <row r="12" spans="1:6" x14ac:dyDescent="0.2">
      <c r="A12" s="22"/>
      <c r="B12" s="21" t="s">
        <v>252</v>
      </c>
      <c r="C12" s="17" t="s">
        <v>263</v>
      </c>
      <c r="D12" s="17" t="s">
        <v>275</v>
      </c>
      <c r="E12" s="17" t="s">
        <v>267</v>
      </c>
      <c r="F12" s="16"/>
    </row>
    <row r="13" spans="1:6" x14ac:dyDescent="0.2">
      <c r="A13" s="22"/>
      <c r="B13" s="21" t="s">
        <v>253</v>
      </c>
      <c r="C13" s="17" t="s">
        <v>264</v>
      </c>
      <c r="D13" s="17" t="s">
        <v>274</v>
      </c>
      <c r="E13" s="17" t="s">
        <v>268</v>
      </c>
      <c r="F13" s="16"/>
    </row>
    <row r="14" spans="1:6" x14ac:dyDescent="0.2">
      <c r="A14" s="22"/>
      <c r="B14" s="21" t="s">
        <v>254</v>
      </c>
      <c r="C14" s="17"/>
      <c r="D14" s="17"/>
      <c r="E14" s="17"/>
      <c r="F14" s="16"/>
    </row>
    <row r="15" spans="1:6" x14ac:dyDescent="0.2">
      <c r="A15" s="22"/>
      <c r="B15" s="22"/>
      <c r="C15" s="22"/>
      <c r="D15" s="22"/>
      <c r="E15" s="22"/>
      <c r="F15" s="22"/>
    </row>
    <row r="16" spans="1:6" x14ac:dyDescent="0.2">
      <c r="A16" s="22"/>
      <c r="B16" s="21" t="s">
        <v>116</v>
      </c>
      <c r="C16" s="17" t="s">
        <v>1</v>
      </c>
      <c r="D16" s="17" t="s">
        <v>232</v>
      </c>
      <c r="E16" s="17" t="s">
        <v>145</v>
      </c>
      <c r="F16" s="16"/>
    </row>
    <row r="17" spans="1:6" ht="25.5" x14ac:dyDescent="0.2">
      <c r="A17" s="22"/>
      <c r="B17" s="21" t="s">
        <v>117</v>
      </c>
      <c r="C17" s="17" t="s">
        <v>279</v>
      </c>
      <c r="D17" s="17" t="s">
        <v>280</v>
      </c>
      <c r="E17" s="17" t="s">
        <v>281</v>
      </c>
      <c r="F17" s="16"/>
    </row>
    <row r="18" spans="1:6" x14ac:dyDescent="0.2">
      <c r="A18" s="22"/>
      <c r="B18" s="16"/>
      <c r="C18" s="16"/>
      <c r="D18" s="16"/>
      <c r="E18" s="16"/>
      <c r="F18" s="16"/>
    </row>
    <row r="19" spans="1:6" x14ac:dyDescent="0.2">
      <c r="A19" s="22" t="s">
        <v>62</v>
      </c>
      <c r="B19" s="21" t="s">
        <v>71</v>
      </c>
      <c r="C19" s="17" t="s">
        <v>0</v>
      </c>
      <c r="D19" s="17" t="s">
        <v>0</v>
      </c>
      <c r="E19" s="17" t="s">
        <v>144</v>
      </c>
      <c r="F19" s="16"/>
    </row>
    <row r="20" spans="1:6" x14ac:dyDescent="0.2">
      <c r="A20" s="16"/>
      <c r="B20" s="21" t="s">
        <v>72</v>
      </c>
      <c r="C20" s="17" t="s">
        <v>2</v>
      </c>
      <c r="D20" s="17" t="s">
        <v>200</v>
      </c>
      <c r="E20" s="17" t="s">
        <v>147</v>
      </c>
      <c r="F20" s="16"/>
    </row>
    <row r="21" spans="1:6" x14ac:dyDescent="0.2">
      <c r="A21" s="16"/>
      <c r="B21" s="21" t="s">
        <v>73</v>
      </c>
      <c r="C21" s="17" t="s">
        <v>48</v>
      </c>
      <c r="D21" s="17" t="s">
        <v>148</v>
      </c>
      <c r="E21" s="17" t="s">
        <v>148</v>
      </c>
      <c r="F21" s="16"/>
    </row>
    <row r="22" spans="1:6" x14ac:dyDescent="0.2">
      <c r="A22" s="16"/>
      <c r="B22" s="21" t="s">
        <v>74</v>
      </c>
      <c r="C22" s="17" t="s">
        <v>3</v>
      </c>
      <c r="D22" s="17" t="s">
        <v>149</v>
      </c>
      <c r="E22" s="17" t="s">
        <v>149</v>
      </c>
      <c r="F22" s="16"/>
    </row>
    <row r="23" spans="1:6" x14ac:dyDescent="0.2">
      <c r="A23" s="16"/>
      <c r="B23" s="21" t="s">
        <v>75</v>
      </c>
      <c r="C23" s="17" t="s">
        <v>4</v>
      </c>
      <c r="D23" s="17" t="s">
        <v>4</v>
      </c>
      <c r="E23" s="17" t="s">
        <v>4</v>
      </c>
      <c r="F23" s="16"/>
    </row>
    <row r="24" spans="1:6" x14ac:dyDescent="0.2">
      <c r="A24" s="16"/>
      <c r="B24" s="21" t="s">
        <v>76</v>
      </c>
      <c r="C24" s="17" t="s">
        <v>5</v>
      </c>
      <c r="D24" s="17" t="s">
        <v>193</v>
      </c>
      <c r="E24" s="17" t="s">
        <v>150</v>
      </c>
      <c r="F24" s="16"/>
    </row>
    <row r="25" spans="1:6" x14ac:dyDescent="0.2">
      <c r="A25" s="16"/>
      <c r="B25" s="21" t="s">
        <v>77</v>
      </c>
      <c r="C25" s="17" t="s">
        <v>6</v>
      </c>
      <c r="D25" s="17" t="s">
        <v>199</v>
      </c>
      <c r="E25" s="17" t="s">
        <v>151</v>
      </c>
      <c r="F25" s="16"/>
    </row>
    <row r="26" spans="1:6" x14ac:dyDescent="0.2">
      <c r="A26" s="16"/>
      <c r="B26" s="21" t="s">
        <v>78</v>
      </c>
      <c r="C26" s="17" t="s">
        <v>7</v>
      </c>
      <c r="D26" s="17" t="s">
        <v>198</v>
      </c>
      <c r="E26" s="17" t="s">
        <v>152</v>
      </c>
      <c r="F26" s="16"/>
    </row>
    <row r="27" spans="1:6" x14ac:dyDescent="0.2">
      <c r="A27" s="16"/>
      <c r="B27" s="21" t="s">
        <v>85</v>
      </c>
      <c r="C27" s="17" t="s">
        <v>8</v>
      </c>
      <c r="D27" s="17" t="s">
        <v>196</v>
      </c>
      <c r="E27" s="17" t="s">
        <v>153</v>
      </c>
      <c r="F27" s="16"/>
    </row>
    <row r="28" spans="1:6" x14ac:dyDescent="0.2">
      <c r="A28" s="16"/>
      <c r="B28" s="21" t="s">
        <v>86</v>
      </c>
      <c r="C28" s="17" t="s">
        <v>9</v>
      </c>
      <c r="D28" s="17" t="s">
        <v>9</v>
      </c>
      <c r="E28" s="17" t="s">
        <v>154</v>
      </c>
      <c r="F28" s="16"/>
    </row>
    <row r="29" spans="1:6" x14ac:dyDescent="0.2">
      <c r="A29" s="16"/>
      <c r="B29" s="21" t="s">
        <v>87</v>
      </c>
      <c r="C29" s="17" t="s">
        <v>49</v>
      </c>
      <c r="D29" s="17" t="s">
        <v>195</v>
      </c>
      <c r="E29" s="17" t="s">
        <v>155</v>
      </c>
      <c r="F29" s="16"/>
    </row>
    <row r="30" spans="1:6" x14ac:dyDescent="0.2">
      <c r="A30" s="16"/>
      <c r="B30" s="21" t="s">
        <v>88</v>
      </c>
      <c r="C30" s="17" t="s">
        <v>10</v>
      </c>
      <c r="D30" s="17" t="s">
        <v>194</v>
      </c>
      <c r="E30" s="17" t="s">
        <v>156</v>
      </c>
      <c r="F30" s="16"/>
    </row>
    <row r="31" spans="1:6" x14ac:dyDescent="0.2">
      <c r="A31" s="16"/>
      <c r="B31" s="21" t="s">
        <v>89</v>
      </c>
      <c r="C31" s="17" t="s">
        <v>11</v>
      </c>
      <c r="D31" s="17" t="s">
        <v>201</v>
      </c>
      <c r="E31" s="17" t="s">
        <v>157</v>
      </c>
      <c r="F31" s="16"/>
    </row>
    <row r="32" spans="1:6" x14ac:dyDescent="0.2">
      <c r="A32" s="16"/>
      <c r="B32" s="21" t="s">
        <v>90</v>
      </c>
      <c r="C32" s="17" t="s">
        <v>12</v>
      </c>
      <c r="D32" s="17" t="s">
        <v>202</v>
      </c>
      <c r="E32" s="17" t="s">
        <v>158</v>
      </c>
      <c r="F32" s="16"/>
    </row>
    <row r="33" spans="1:6" x14ac:dyDescent="0.2">
      <c r="A33" s="16"/>
      <c r="B33" s="21" t="s">
        <v>91</v>
      </c>
      <c r="C33" s="17" t="s">
        <v>13</v>
      </c>
      <c r="D33" s="17" t="s">
        <v>197</v>
      </c>
      <c r="E33" s="17" t="s">
        <v>159</v>
      </c>
      <c r="F33" s="16"/>
    </row>
    <row r="34" spans="1:6" x14ac:dyDescent="0.2">
      <c r="A34" s="16"/>
      <c r="B34" s="21" t="s">
        <v>92</v>
      </c>
      <c r="C34" s="17" t="s">
        <v>14</v>
      </c>
      <c r="D34" s="17" t="s">
        <v>203</v>
      </c>
      <c r="E34" s="17" t="s">
        <v>160</v>
      </c>
      <c r="F34" s="16"/>
    </row>
    <row r="35" spans="1:6" x14ac:dyDescent="0.2">
      <c r="A35" s="16"/>
      <c r="B35" s="21" t="s">
        <v>93</v>
      </c>
      <c r="C35" s="17" t="s">
        <v>15</v>
      </c>
      <c r="D35" s="17" t="s">
        <v>204</v>
      </c>
      <c r="E35" s="17" t="s">
        <v>161</v>
      </c>
      <c r="F35" s="16"/>
    </row>
    <row r="36" spans="1:6" x14ac:dyDescent="0.2">
      <c r="A36" s="16"/>
      <c r="B36" s="21" t="s">
        <v>94</v>
      </c>
      <c r="C36" s="17" t="s">
        <v>16</v>
      </c>
      <c r="D36" s="17" t="s">
        <v>205</v>
      </c>
      <c r="E36" s="17" t="s">
        <v>162</v>
      </c>
      <c r="F36" s="16"/>
    </row>
    <row r="37" spans="1:6" x14ac:dyDescent="0.2">
      <c r="A37" s="16"/>
      <c r="B37" s="21" t="s">
        <v>95</v>
      </c>
      <c r="C37" s="17" t="s">
        <v>50</v>
      </c>
      <c r="D37" s="17" t="s">
        <v>209</v>
      </c>
      <c r="E37" s="17" t="s">
        <v>163</v>
      </c>
      <c r="F37" s="16"/>
    </row>
    <row r="38" spans="1:6" x14ac:dyDescent="0.2">
      <c r="A38" s="16"/>
      <c r="B38" s="21" t="s">
        <v>96</v>
      </c>
      <c r="C38" s="17" t="s">
        <v>17</v>
      </c>
      <c r="D38" s="17" t="s">
        <v>164</v>
      </c>
      <c r="E38" s="17" t="s">
        <v>164</v>
      </c>
      <c r="F38" s="16"/>
    </row>
    <row r="39" spans="1:6" x14ac:dyDescent="0.2">
      <c r="A39" s="16"/>
      <c r="B39" s="21" t="s">
        <v>97</v>
      </c>
      <c r="C39" s="17" t="s">
        <v>18</v>
      </c>
      <c r="D39" s="17" t="s">
        <v>165</v>
      </c>
      <c r="E39" s="17" t="s">
        <v>165</v>
      </c>
      <c r="F39" s="16"/>
    </row>
    <row r="40" spans="1:6" x14ac:dyDescent="0.2">
      <c r="A40" s="16"/>
      <c r="B40" s="21" t="s">
        <v>98</v>
      </c>
      <c r="C40" s="17" t="s">
        <v>52</v>
      </c>
      <c r="D40" s="17" t="s">
        <v>52</v>
      </c>
      <c r="E40" s="17" t="s">
        <v>166</v>
      </c>
      <c r="F40" s="16"/>
    </row>
    <row r="41" spans="1:6" x14ac:dyDescent="0.2">
      <c r="A41" s="16"/>
      <c r="B41" s="21" t="s">
        <v>99</v>
      </c>
      <c r="C41" s="17" t="s">
        <v>53</v>
      </c>
      <c r="D41" s="17" t="s">
        <v>208</v>
      </c>
      <c r="E41" s="17" t="s">
        <v>167</v>
      </c>
      <c r="F41" s="16"/>
    </row>
    <row r="42" spans="1:6" x14ac:dyDescent="0.2">
      <c r="A42" s="16"/>
      <c r="B42" s="21" t="s">
        <v>100</v>
      </c>
      <c r="C42" s="17" t="s">
        <v>51</v>
      </c>
      <c r="D42" s="17" t="s">
        <v>207</v>
      </c>
      <c r="E42" s="17" t="s">
        <v>168</v>
      </c>
      <c r="F42" s="16"/>
    </row>
    <row r="43" spans="1:6" x14ac:dyDescent="0.2">
      <c r="A43" s="16"/>
      <c r="B43" s="21" t="s">
        <v>101</v>
      </c>
      <c r="C43" s="17" t="s">
        <v>54</v>
      </c>
      <c r="D43" s="17" t="s">
        <v>169</v>
      </c>
      <c r="E43" s="17" t="s">
        <v>169</v>
      </c>
      <c r="F43" s="16"/>
    </row>
    <row r="44" spans="1:6" x14ac:dyDescent="0.2">
      <c r="A44" s="16"/>
      <c r="B44" s="21" t="s">
        <v>102</v>
      </c>
      <c r="C44" s="17" t="s">
        <v>55</v>
      </c>
      <c r="D44" s="17" t="s">
        <v>206</v>
      </c>
      <c r="E44" s="17" t="s">
        <v>170</v>
      </c>
      <c r="F44" s="16"/>
    </row>
    <row r="45" spans="1:6" x14ac:dyDescent="0.2">
      <c r="A45" s="16"/>
      <c r="B45" s="21" t="s">
        <v>103</v>
      </c>
      <c r="C45" s="17" t="s">
        <v>19</v>
      </c>
      <c r="D45" s="17" t="s">
        <v>171</v>
      </c>
      <c r="E45" s="17" t="s">
        <v>171</v>
      </c>
      <c r="F45" s="16"/>
    </row>
    <row r="46" spans="1:6" x14ac:dyDescent="0.2">
      <c r="A46" s="16"/>
      <c r="B46" s="16"/>
      <c r="C46" s="16"/>
      <c r="D46" s="16"/>
      <c r="E46" s="16"/>
      <c r="F46" s="16"/>
    </row>
    <row r="47" spans="1:6" ht="25.5" x14ac:dyDescent="0.2">
      <c r="A47" s="22"/>
      <c r="B47" s="21" t="s">
        <v>79</v>
      </c>
      <c r="C47" s="21" t="s">
        <v>306</v>
      </c>
      <c r="D47" s="21" t="s">
        <v>308</v>
      </c>
      <c r="E47" s="21" t="s">
        <v>307</v>
      </c>
      <c r="F47" s="16"/>
    </row>
    <row r="48" spans="1:6" x14ac:dyDescent="0.2">
      <c r="A48" s="16"/>
      <c r="B48" s="21" t="s">
        <v>80</v>
      </c>
      <c r="C48" s="38" t="s">
        <v>20</v>
      </c>
      <c r="D48" s="14" t="s">
        <v>329</v>
      </c>
      <c r="E48" s="14" t="s">
        <v>330</v>
      </c>
      <c r="F48" s="16"/>
    </row>
    <row r="49" spans="1:6" x14ac:dyDescent="0.2">
      <c r="A49" s="16"/>
      <c r="B49" s="21" t="s">
        <v>81</v>
      </c>
      <c r="C49" s="38" t="s">
        <v>21</v>
      </c>
      <c r="D49" s="14" t="s">
        <v>331</v>
      </c>
      <c r="E49" s="14" t="s">
        <v>332</v>
      </c>
      <c r="F49" s="16"/>
    </row>
    <row r="50" spans="1:6" x14ac:dyDescent="0.2">
      <c r="A50" s="16"/>
      <c r="B50" s="21" t="s">
        <v>82</v>
      </c>
      <c r="C50" s="38" t="s">
        <v>22</v>
      </c>
      <c r="D50" s="14" t="s">
        <v>333</v>
      </c>
      <c r="E50" s="14" t="s">
        <v>334</v>
      </c>
      <c r="F50" s="16"/>
    </row>
    <row r="51" spans="1:6" x14ac:dyDescent="0.2">
      <c r="A51" s="16"/>
      <c r="B51" s="21" t="s">
        <v>305</v>
      </c>
      <c r="C51" s="38" t="s">
        <v>23</v>
      </c>
      <c r="D51" s="14" t="s">
        <v>335</v>
      </c>
      <c r="E51" s="14" t="s">
        <v>336</v>
      </c>
      <c r="F51" s="16"/>
    </row>
    <row r="52" spans="1:6" x14ac:dyDescent="0.2">
      <c r="A52" s="16"/>
      <c r="B52" s="16"/>
      <c r="C52" s="16"/>
      <c r="D52" s="16"/>
      <c r="E52" s="16"/>
      <c r="F52" s="16"/>
    </row>
    <row r="53" spans="1:6" x14ac:dyDescent="0.2">
      <c r="A53" s="16" t="s">
        <v>105</v>
      </c>
      <c r="B53" s="21" t="s">
        <v>104</v>
      </c>
      <c r="C53" s="17" t="s">
        <v>47</v>
      </c>
      <c r="D53" s="17" t="s">
        <v>233</v>
      </c>
      <c r="E53" s="17" t="s">
        <v>146</v>
      </c>
      <c r="F53" s="16"/>
    </row>
    <row r="54" spans="1:6" x14ac:dyDescent="0.2">
      <c r="A54" s="16" t="s">
        <v>62</v>
      </c>
      <c r="B54" s="24" t="s">
        <v>83</v>
      </c>
      <c r="C54" s="20" t="s">
        <v>338</v>
      </c>
      <c r="D54" s="20" t="s">
        <v>339</v>
      </c>
      <c r="E54" s="20" t="s">
        <v>340</v>
      </c>
      <c r="F54" s="16"/>
    </row>
    <row r="55" spans="1:6" x14ac:dyDescent="0.2">
      <c r="A55" s="16"/>
      <c r="B55" s="16"/>
      <c r="C55" s="16"/>
      <c r="D55" s="16"/>
      <c r="E55" s="16"/>
      <c r="F55" s="16"/>
    </row>
    <row r="56" spans="1:6" x14ac:dyDescent="0.2">
      <c r="A56" s="22"/>
      <c r="B56" s="23"/>
      <c r="C56" s="16"/>
      <c r="D56" s="16"/>
      <c r="E56" s="16"/>
      <c r="F56" s="16"/>
    </row>
    <row r="57" spans="1:6" ht="25.5" x14ac:dyDescent="0.2">
      <c r="A57" s="22" t="s">
        <v>106</v>
      </c>
      <c r="B57" s="21" t="s">
        <v>107</v>
      </c>
      <c r="C57" s="18" t="s">
        <v>282</v>
      </c>
      <c r="D57" s="18" t="s">
        <v>283</v>
      </c>
      <c r="E57" s="18" t="s">
        <v>284</v>
      </c>
      <c r="F57" s="16"/>
    </row>
    <row r="58" spans="1:6" x14ac:dyDescent="0.2">
      <c r="A58" s="22"/>
      <c r="B58" s="21" t="s">
        <v>108</v>
      </c>
      <c r="C58" s="40" t="s">
        <v>256</v>
      </c>
      <c r="D58" s="40" t="s">
        <v>257</v>
      </c>
      <c r="E58" s="40" t="s">
        <v>258</v>
      </c>
      <c r="F58" s="16"/>
    </row>
    <row r="59" spans="1:6" x14ac:dyDescent="0.2">
      <c r="A59" s="22"/>
      <c r="B59" s="16"/>
      <c r="C59" s="16"/>
      <c r="D59" s="16"/>
      <c r="E59" s="16"/>
      <c r="F59" s="16"/>
    </row>
    <row r="60" spans="1:6" x14ac:dyDescent="0.2">
      <c r="A60" s="22" t="s">
        <v>106</v>
      </c>
      <c r="B60" s="21" t="s">
        <v>109</v>
      </c>
      <c r="C60" s="17" t="s">
        <v>0</v>
      </c>
      <c r="D60" s="17" t="s">
        <v>0</v>
      </c>
      <c r="E60" s="17" t="s">
        <v>144</v>
      </c>
      <c r="F60" s="16"/>
    </row>
    <row r="61" spans="1:6" x14ac:dyDescent="0.2">
      <c r="A61" s="16"/>
      <c r="B61" s="21" t="s">
        <v>110</v>
      </c>
      <c r="C61" s="17" t="s">
        <v>24</v>
      </c>
      <c r="D61" s="17" t="s">
        <v>212</v>
      </c>
      <c r="E61" s="17" t="s">
        <v>172</v>
      </c>
      <c r="F61" s="16"/>
    </row>
    <row r="62" spans="1:6" x14ac:dyDescent="0.2">
      <c r="A62" s="16"/>
      <c r="B62" s="21" t="s">
        <v>111</v>
      </c>
      <c r="C62" s="17" t="s">
        <v>27</v>
      </c>
      <c r="D62" s="25" t="s">
        <v>213</v>
      </c>
      <c r="E62" s="17" t="s">
        <v>173</v>
      </c>
      <c r="F62" s="16"/>
    </row>
    <row r="63" spans="1:6" x14ac:dyDescent="0.2">
      <c r="A63" s="16"/>
      <c r="B63" s="21" t="s">
        <v>112</v>
      </c>
      <c r="C63" s="17" t="s">
        <v>235</v>
      </c>
      <c r="D63" s="17" t="s">
        <v>236</v>
      </c>
      <c r="E63" s="17" t="s">
        <v>237</v>
      </c>
      <c r="F63" s="16"/>
    </row>
    <row r="64" spans="1:6" x14ac:dyDescent="0.2">
      <c r="A64" s="16"/>
      <c r="B64" s="21" t="s">
        <v>113</v>
      </c>
      <c r="C64" s="21" t="s">
        <v>285</v>
      </c>
      <c r="D64" s="21" t="s">
        <v>287</v>
      </c>
      <c r="E64" s="21" t="s">
        <v>286</v>
      </c>
      <c r="F64" s="16"/>
    </row>
    <row r="65" spans="1:6" x14ac:dyDescent="0.2">
      <c r="A65" s="16"/>
      <c r="B65" s="21" t="s">
        <v>114</v>
      </c>
      <c r="C65" s="17" t="s">
        <v>28</v>
      </c>
      <c r="D65" s="17" t="s">
        <v>214</v>
      </c>
      <c r="E65" s="17" t="s">
        <v>238</v>
      </c>
      <c r="F65" s="16"/>
    </row>
    <row r="66" spans="1:6" x14ac:dyDescent="0.2">
      <c r="A66" s="16"/>
      <c r="B66" s="21" t="s">
        <v>115</v>
      </c>
      <c r="C66" s="17" t="s">
        <v>32</v>
      </c>
      <c r="D66" s="17" t="s">
        <v>215</v>
      </c>
      <c r="E66" s="17" t="s">
        <v>239</v>
      </c>
      <c r="F66" s="16"/>
    </row>
    <row r="67" spans="1:6" x14ac:dyDescent="0.2">
      <c r="A67" s="16"/>
      <c r="B67" s="21" t="s">
        <v>129</v>
      </c>
      <c r="C67" s="17" t="s">
        <v>44</v>
      </c>
      <c r="D67" s="17" t="s">
        <v>216</v>
      </c>
      <c r="E67" s="17" t="s">
        <v>240</v>
      </c>
      <c r="F67" s="16"/>
    </row>
    <row r="68" spans="1:6" x14ac:dyDescent="0.2">
      <c r="A68" s="16"/>
      <c r="B68" s="16"/>
      <c r="C68" s="16"/>
      <c r="D68" s="16"/>
      <c r="E68" s="16"/>
      <c r="F68" s="16"/>
    </row>
    <row r="69" spans="1:6" x14ac:dyDescent="0.2">
      <c r="A69" s="16"/>
      <c r="B69" s="21" t="s">
        <v>118</v>
      </c>
      <c r="C69" s="17" t="s">
        <v>25</v>
      </c>
      <c r="D69" s="17" t="s">
        <v>210</v>
      </c>
      <c r="E69" s="17" t="s">
        <v>174</v>
      </c>
      <c r="F69" s="16"/>
    </row>
    <row r="70" spans="1:6" x14ac:dyDescent="0.2">
      <c r="A70" s="16"/>
      <c r="B70" s="21" t="s">
        <v>119</v>
      </c>
      <c r="C70" s="17" t="s">
        <v>26</v>
      </c>
      <c r="D70" s="17" t="s">
        <v>211</v>
      </c>
      <c r="E70" s="17" t="s">
        <v>175</v>
      </c>
      <c r="F70" s="16"/>
    </row>
    <row r="71" spans="1:6" x14ac:dyDescent="0.2">
      <c r="A71" s="16"/>
      <c r="B71" s="21" t="s">
        <v>120</v>
      </c>
      <c r="C71" s="17" t="s">
        <v>241</v>
      </c>
      <c r="D71" s="17" t="s">
        <v>241</v>
      </c>
      <c r="E71" s="17" t="s">
        <v>241</v>
      </c>
      <c r="F71" s="16"/>
    </row>
    <row r="72" spans="1:6" x14ac:dyDescent="0.2">
      <c r="A72" s="16"/>
      <c r="B72" s="21" t="s">
        <v>121</v>
      </c>
      <c r="C72" s="17" t="s">
        <v>289</v>
      </c>
      <c r="D72" s="17" t="s">
        <v>289</v>
      </c>
      <c r="E72" s="17" t="s">
        <v>289</v>
      </c>
      <c r="F72" s="16"/>
    </row>
    <row r="73" spans="1:6" x14ac:dyDescent="0.2">
      <c r="A73" s="16"/>
      <c r="B73" s="21" t="s">
        <v>130</v>
      </c>
      <c r="C73" s="17" t="s">
        <v>288</v>
      </c>
      <c r="D73" s="17" t="s">
        <v>288</v>
      </c>
      <c r="E73" s="17" t="s">
        <v>288</v>
      </c>
      <c r="F73" s="16"/>
    </row>
    <row r="74" spans="1:6" x14ac:dyDescent="0.2">
      <c r="A74" s="16"/>
      <c r="B74" s="21" t="s">
        <v>131</v>
      </c>
      <c r="C74" s="17" t="s">
        <v>242</v>
      </c>
      <c r="D74" s="17" t="s">
        <v>243</v>
      </c>
      <c r="E74" s="17" t="s">
        <v>244</v>
      </c>
      <c r="F74" s="16"/>
    </row>
    <row r="75" spans="1:6" x14ac:dyDescent="0.2">
      <c r="A75" s="16"/>
      <c r="B75" s="21" t="s">
        <v>122</v>
      </c>
      <c r="C75" s="17" t="s">
        <v>247</v>
      </c>
      <c r="D75" s="17" t="s">
        <v>246</v>
      </c>
      <c r="E75" s="17" t="s">
        <v>245</v>
      </c>
      <c r="F75" s="16"/>
    </row>
    <row r="76" spans="1:6" x14ac:dyDescent="0.2">
      <c r="A76" s="16"/>
      <c r="B76" s="21" t="s">
        <v>123</v>
      </c>
      <c r="C76" s="17" t="s">
        <v>292</v>
      </c>
      <c r="D76" s="17" t="s">
        <v>297</v>
      </c>
      <c r="E76" s="17" t="s">
        <v>301</v>
      </c>
      <c r="F76" s="16"/>
    </row>
    <row r="77" spans="1:6" x14ac:dyDescent="0.2">
      <c r="A77" s="16"/>
      <c r="B77" s="21" t="s">
        <v>290</v>
      </c>
      <c r="C77" s="17" t="s">
        <v>293</v>
      </c>
      <c r="D77" s="17" t="s">
        <v>298</v>
      </c>
      <c r="E77" s="17" t="s">
        <v>302</v>
      </c>
      <c r="F77" s="16"/>
    </row>
    <row r="78" spans="1:6" x14ac:dyDescent="0.2">
      <c r="A78" s="16"/>
      <c r="B78" s="21" t="s">
        <v>291</v>
      </c>
      <c r="C78" s="17" t="s">
        <v>294</v>
      </c>
      <c r="D78" s="17" t="s">
        <v>299</v>
      </c>
      <c r="E78" s="17" t="s">
        <v>303</v>
      </c>
      <c r="F78" s="16"/>
    </row>
    <row r="79" spans="1:6" x14ac:dyDescent="0.2">
      <c r="A79" s="16"/>
      <c r="B79" s="21" t="s">
        <v>296</v>
      </c>
      <c r="C79" s="17" t="s">
        <v>295</v>
      </c>
      <c r="D79" s="17" t="s">
        <v>300</v>
      </c>
      <c r="E79" s="17" t="s">
        <v>304</v>
      </c>
      <c r="F79" s="16"/>
    </row>
    <row r="80" spans="1:6" x14ac:dyDescent="0.2">
      <c r="A80" s="16"/>
      <c r="B80" s="21" t="s">
        <v>124</v>
      </c>
      <c r="C80" s="17" t="s">
        <v>314</v>
      </c>
      <c r="D80" s="17" t="s">
        <v>319</v>
      </c>
      <c r="E80" s="17" t="s">
        <v>320</v>
      </c>
      <c r="F80" s="16"/>
    </row>
    <row r="81" spans="1:6" x14ac:dyDescent="0.2">
      <c r="A81" s="16"/>
      <c r="B81" s="21" t="s">
        <v>125</v>
      </c>
      <c r="C81" s="17" t="s">
        <v>315</v>
      </c>
      <c r="D81" s="17" t="s">
        <v>321</v>
      </c>
      <c r="E81" s="17" t="s">
        <v>322</v>
      </c>
      <c r="F81" s="16"/>
    </row>
    <row r="82" spans="1:6" x14ac:dyDescent="0.2">
      <c r="A82" s="16"/>
      <c r="B82" s="21" t="s">
        <v>248</v>
      </c>
      <c r="C82" s="17" t="s">
        <v>316</v>
      </c>
      <c r="D82" s="17" t="s">
        <v>323</v>
      </c>
      <c r="E82" s="17" t="s">
        <v>324</v>
      </c>
      <c r="F82" s="16"/>
    </row>
    <row r="83" spans="1:6" ht="25.5" x14ac:dyDescent="0.2">
      <c r="A83" s="16"/>
      <c r="B83" s="21" t="s">
        <v>312</v>
      </c>
      <c r="C83" s="17" t="s">
        <v>317</v>
      </c>
      <c r="D83" s="17" t="s">
        <v>325</v>
      </c>
      <c r="E83" s="17" t="s">
        <v>326</v>
      </c>
      <c r="F83" s="16"/>
    </row>
    <row r="84" spans="1:6" x14ac:dyDescent="0.2">
      <c r="A84" s="16"/>
      <c r="B84" s="21" t="s">
        <v>313</v>
      </c>
      <c r="C84" s="17" t="s">
        <v>318</v>
      </c>
      <c r="D84" s="17" t="s">
        <v>327</v>
      </c>
      <c r="E84" s="17" t="s">
        <v>328</v>
      </c>
      <c r="F84" s="16"/>
    </row>
    <row r="85" spans="1:6" x14ac:dyDescent="0.2">
      <c r="A85" s="16"/>
      <c r="B85" s="21" t="s">
        <v>311</v>
      </c>
      <c r="C85" s="17" t="s">
        <v>29</v>
      </c>
      <c r="D85" s="17" t="s">
        <v>231</v>
      </c>
      <c r="E85" s="17" t="s">
        <v>176</v>
      </c>
      <c r="F85" s="16"/>
    </row>
    <row r="86" spans="1:6" x14ac:dyDescent="0.2">
      <c r="A86" s="16"/>
      <c r="B86" s="21" t="s">
        <v>310</v>
      </c>
      <c r="C86" s="17" t="s">
        <v>30</v>
      </c>
      <c r="D86" s="17" t="s">
        <v>230</v>
      </c>
      <c r="E86" s="17" t="s">
        <v>177</v>
      </c>
      <c r="F86" s="16"/>
    </row>
    <row r="87" spans="1:6" x14ac:dyDescent="0.2">
      <c r="A87" s="16"/>
      <c r="B87" s="21" t="s">
        <v>309</v>
      </c>
      <c r="C87" s="17" t="s">
        <v>31</v>
      </c>
      <c r="D87" s="17" t="s">
        <v>230</v>
      </c>
      <c r="E87" s="17" t="s">
        <v>178</v>
      </c>
      <c r="F87" s="16"/>
    </row>
    <row r="88" spans="1:6" x14ac:dyDescent="0.2">
      <c r="A88" s="16"/>
      <c r="B88" s="21" t="s">
        <v>126</v>
      </c>
      <c r="C88" s="17" t="s">
        <v>33</v>
      </c>
      <c r="D88" s="17" t="s">
        <v>229</v>
      </c>
      <c r="E88" s="17" t="s">
        <v>179</v>
      </c>
      <c r="F88" s="16"/>
    </row>
    <row r="89" spans="1:6" x14ac:dyDescent="0.2">
      <c r="A89" s="16"/>
      <c r="B89" s="21" t="s">
        <v>127</v>
      </c>
      <c r="C89" s="17" t="s">
        <v>34</v>
      </c>
      <c r="D89" s="17" t="s">
        <v>217</v>
      </c>
      <c r="E89" s="17" t="s">
        <v>180</v>
      </c>
      <c r="F89" s="16"/>
    </row>
    <row r="90" spans="1:6" x14ac:dyDescent="0.2">
      <c r="A90" s="16"/>
      <c r="B90" s="21" t="s">
        <v>128</v>
      </c>
      <c r="C90" s="17" t="s">
        <v>35</v>
      </c>
      <c r="D90" s="17" t="s">
        <v>218</v>
      </c>
      <c r="E90" s="17" t="s">
        <v>181</v>
      </c>
      <c r="F90" s="16"/>
    </row>
    <row r="91" spans="1:6" x14ac:dyDescent="0.2">
      <c r="A91" s="16"/>
      <c r="B91" s="21" t="s">
        <v>132</v>
      </c>
      <c r="C91" s="17" t="s">
        <v>36</v>
      </c>
      <c r="D91" s="17" t="s">
        <v>219</v>
      </c>
      <c r="E91" s="17" t="s">
        <v>182</v>
      </c>
      <c r="F91" s="16"/>
    </row>
    <row r="92" spans="1:6" x14ac:dyDescent="0.2">
      <c r="A92" s="16"/>
      <c r="B92" s="21" t="s">
        <v>133</v>
      </c>
      <c r="C92" s="17" t="s">
        <v>37</v>
      </c>
      <c r="D92" s="17" t="s">
        <v>220</v>
      </c>
      <c r="E92" s="17" t="s">
        <v>183</v>
      </c>
      <c r="F92" s="16"/>
    </row>
    <row r="93" spans="1:6" x14ac:dyDescent="0.2">
      <c r="A93" s="16"/>
      <c r="B93" s="21" t="s">
        <v>134</v>
      </c>
      <c r="C93" s="17" t="s">
        <v>38</v>
      </c>
      <c r="D93" s="17" t="s">
        <v>221</v>
      </c>
      <c r="E93" s="17" t="s">
        <v>184</v>
      </c>
      <c r="F93" s="16"/>
    </row>
    <row r="94" spans="1:6" x14ac:dyDescent="0.2">
      <c r="A94" s="16"/>
      <c r="B94" s="21" t="s">
        <v>135</v>
      </c>
      <c r="C94" s="17" t="s">
        <v>39</v>
      </c>
      <c r="D94" s="17" t="s">
        <v>222</v>
      </c>
      <c r="E94" s="17" t="s">
        <v>185</v>
      </c>
      <c r="F94" s="16"/>
    </row>
    <row r="95" spans="1:6" x14ac:dyDescent="0.2">
      <c r="A95" s="16"/>
      <c r="B95" s="21" t="s">
        <v>136</v>
      </c>
      <c r="C95" s="17" t="s">
        <v>40</v>
      </c>
      <c r="D95" s="17" t="s">
        <v>223</v>
      </c>
      <c r="E95" s="17" t="s">
        <v>186</v>
      </c>
      <c r="F95" s="16"/>
    </row>
    <row r="96" spans="1:6" ht="25.5" x14ac:dyDescent="0.2">
      <c r="A96" s="16"/>
      <c r="B96" s="21" t="s">
        <v>137</v>
      </c>
      <c r="C96" s="17" t="s">
        <v>41</v>
      </c>
      <c r="D96" s="17" t="s">
        <v>224</v>
      </c>
      <c r="E96" s="17" t="s">
        <v>187</v>
      </c>
      <c r="F96" s="16"/>
    </row>
    <row r="97" spans="1:6" ht="38.25" x14ac:dyDescent="0.2">
      <c r="A97" s="16"/>
      <c r="B97" s="21" t="s">
        <v>138</v>
      </c>
      <c r="C97" s="17" t="s">
        <v>42</v>
      </c>
      <c r="D97" s="17" t="s">
        <v>225</v>
      </c>
      <c r="E97" s="17" t="s">
        <v>188</v>
      </c>
      <c r="F97" s="16"/>
    </row>
    <row r="98" spans="1:6" ht="25.5" x14ac:dyDescent="0.2">
      <c r="A98" s="16"/>
      <c r="B98" s="21" t="s">
        <v>139</v>
      </c>
      <c r="C98" s="17" t="s">
        <v>43</v>
      </c>
      <c r="D98" s="17" t="s">
        <v>226</v>
      </c>
      <c r="E98" s="17" t="s">
        <v>189</v>
      </c>
      <c r="F98" s="16"/>
    </row>
    <row r="99" spans="1:6" x14ac:dyDescent="0.2">
      <c r="A99" s="16"/>
      <c r="B99" s="21" t="s">
        <v>140</v>
      </c>
      <c r="C99" s="17" t="s">
        <v>249</v>
      </c>
      <c r="D99" s="17" t="s">
        <v>250</v>
      </c>
      <c r="E99" s="17" t="s">
        <v>190</v>
      </c>
      <c r="F99" s="16"/>
    </row>
    <row r="100" spans="1:6" x14ac:dyDescent="0.2">
      <c r="A100" s="16"/>
      <c r="B100" s="21" t="s">
        <v>141</v>
      </c>
      <c r="C100" s="17" t="s">
        <v>45</v>
      </c>
      <c r="D100" s="17" t="s">
        <v>227</v>
      </c>
      <c r="E100" s="17" t="s">
        <v>191</v>
      </c>
      <c r="F100" s="16"/>
    </row>
    <row r="101" spans="1:6" x14ac:dyDescent="0.2">
      <c r="A101" s="16"/>
      <c r="B101" s="21" t="s">
        <v>142</v>
      </c>
      <c r="C101" s="17" t="s">
        <v>46</v>
      </c>
      <c r="D101" s="17" t="s">
        <v>228</v>
      </c>
      <c r="E101" s="17" t="s">
        <v>192</v>
      </c>
      <c r="F101" s="16"/>
    </row>
    <row r="102" spans="1:6" x14ac:dyDescent="0.2">
      <c r="A102" s="16"/>
      <c r="B102" s="16"/>
      <c r="C102" s="16"/>
      <c r="D102" s="16"/>
      <c r="E102" s="16"/>
      <c r="F102" s="16"/>
    </row>
    <row r="103" spans="1:6" x14ac:dyDescent="0.2">
      <c r="A103" s="16" t="s">
        <v>106</v>
      </c>
      <c r="B103" s="24" t="s">
        <v>143</v>
      </c>
      <c r="C103" s="20" t="s">
        <v>338</v>
      </c>
      <c r="D103" s="20" t="s">
        <v>339</v>
      </c>
      <c r="E103" s="20" t="s">
        <v>340</v>
      </c>
      <c r="F103" s="16"/>
    </row>
    <row r="104" spans="1:6" x14ac:dyDescent="0.2">
      <c r="A104" s="16"/>
      <c r="B104" s="16"/>
      <c r="C104" s="16"/>
      <c r="D104" s="16"/>
      <c r="E104" s="16"/>
      <c r="F104" s="16"/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A83D2D9087C0499BBDDADFE9564913" ma:contentTypeVersion="6" ma:contentTypeDescription="Ein neues Dokument erstellen." ma:contentTypeScope="" ma:versionID="1f3af7de7f4500b720d1e69b73bf35ac">
  <xsd:schema xmlns:xsd="http://www.w3.org/2001/XMLSchema" xmlns:xs="http://www.w3.org/2001/XMLSchema" xmlns:p="http://schemas.microsoft.com/office/2006/metadata/properties" xmlns:ns1="http://schemas.microsoft.com/sharepoint/v3" xmlns:ns2="9d1f6504-c754-4527-a358-047ce8521f96" targetNamespace="http://schemas.microsoft.com/office/2006/metadata/properties" ma:root="true" ma:fieldsID="c79055d5800c49357077d70b127ffa6c" ns1:_="" ns2:_="">
    <xsd:import namespace="http://schemas.microsoft.com/sharepoint/v3"/>
    <xsd:import namespace="9d1f6504-c754-4527-a358-047ce8521f9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Kategorie" minOccurs="0"/>
                <xsd:element ref="ns2:Benutzerdefinierte_x0020_ID" minOccurs="0"/>
                <xsd:element ref="ns2:Titel_DE" minOccurs="0"/>
                <xsd:element ref="ns2:Titel_RM" minOccurs="0"/>
                <xsd:element ref="ns2:Titel_I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1f6504-c754-4527-a358-047ce8521f96" elementFormDefault="qualified">
    <xsd:import namespace="http://schemas.microsoft.com/office/2006/documentManagement/types"/>
    <xsd:import namespace="http://schemas.microsoft.com/office/infopath/2007/PartnerControls"/>
    <xsd:element name="Kategorie" ma:index="10" nillable="true" ma:displayName="Kategorie" ma:internalName="Kategorie">
      <xsd:simpleType>
        <xsd:restriction base="dms:Text">
          <xsd:maxLength value="255"/>
        </xsd:restriction>
      </xsd:simpleType>
    </xsd:element>
    <xsd:element name="Benutzerdefinierte_x0020_ID" ma:index="11" nillable="true" ma:displayName="Benutzerdefinierte ID" ma:internalName="Benutzerdefinierte_x0020_ID" ma:percentage="FALSE">
      <xsd:simpleType>
        <xsd:restriction base="dms:Number"/>
      </xsd:simpleType>
    </xsd:element>
    <xsd:element name="Titel_DE" ma:index="12" nillable="true" ma:displayName="Titel_DE" ma:internalName="Titel_DE">
      <xsd:simpleType>
        <xsd:restriction base="dms:Text">
          <xsd:maxLength value="255"/>
        </xsd:restriction>
      </xsd:simpleType>
    </xsd:element>
    <xsd:element name="Titel_RM" ma:index="13" nillable="true" ma:displayName="Titel_RM" ma:internalName="Titel_RM">
      <xsd:simpleType>
        <xsd:restriction base="dms:Text">
          <xsd:maxLength value="255"/>
        </xsd:restriction>
      </xsd:simpleType>
    </xsd:element>
    <xsd:element name="Titel_IT" ma:index="14" nillable="true" ma:displayName="Titel_IT" ma:internalName="Titel_I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enutzerdefinierte_x0020_ID xmlns="9d1f6504-c754-4527-a358-047ce8521f96">1025</Benutzerdefinierte_x0020_ID>
    <Titel_RM xmlns="9d1f6504-c754-4527-a358-047ce8521f96">Enquista da structura da la populaziun – linguas principalas, 2024</Titel_RM>
    <Titel_DE xmlns="9d1f6504-c754-4527-a358-047ce8521f96">Strukturerhebung Bevölkerung - Hauptsprachen, 2024</Titel_DE>
    <PublishingExpirationDate xmlns="http://schemas.microsoft.com/sharepoint/v3" xsi:nil="true"/>
    <Kategorie xmlns="9d1f6504-c754-4527-a358-047ce8521f96">Sprache, Religion</Kategorie>
    <PublishingStartDate xmlns="http://schemas.microsoft.com/sharepoint/v3" xsi:nil="true"/>
    <Titel_IT xmlns="9d1f6504-c754-4527-a358-047ce8521f96">Rilevazione strutturale della popolazione - lingue principali, 2024</Titel_IT>
  </documentManagement>
</p:properties>
</file>

<file path=customXml/itemProps1.xml><?xml version="1.0" encoding="utf-8"?>
<ds:datastoreItem xmlns:ds="http://schemas.openxmlformats.org/officeDocument/2006/customXml" ds:itemID="{1FF7BDCF-A20E-44B2-B811-BD8830633B92}"/>
</file>

<file path=customXml/itemProps2.xml><?xml version="1.0" encoding="utf-8"?>
<ds:datastoreItem xmlns:ds="http://schemas.openxmlformats.org/officeDocument/2006/customXml" ds:itemID="{8B68EC9B-2718-4DDE-A320-25436A0CE69A}"/>
</file>

<file path=customXml/itemProps3.xml><?xml version="1.0" encoding="utf-8"?>
<ds:datastoreItem xmlns:ds="http://schemas.openxmlformats.org/officeDocument/2006/customXml" ds:itemID="{EE33FA63-3529-4727-8E11-AE4B37E498B2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Kantone</vt:lpstr>
      <vt:lpstr>Graubünden</vt:lpstr>
      <vt:lpstr>Uebersetzungen</vt:lpstr>
      <vt:lpstr>Graubünden!Druckbereich</vt:lpstr>
      <vt:lpstr>Kantone!Druckbereich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Bevölkerung nach Hauptsprache</dc:title>
  <dc:creator>Luzius.Stricker@awt.gr.ch</dc:creator>
  <cp:lastModifiedBy>Monstein Urs (AWT GR)</cp:lastModifiedBy>
  <cp:lastPrinted>2018-12-06T18:35:59Z</cp:lastPrinted>
  <dcterms:created xsi:type="dcterms:W3CDTF">2012-06-17T15:40:31Z</dcterms:created>
  <dcterms:modified xsi:type="dcterms:W3CDTF">2026-02-23T07:53:45Z</dcterms:modified>
  <cp:category>SE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bfc5642-2d7f-4e68-9674-ab3e35a89b06_Enabled">
    <vt:lpwstr>true</vt:lpwstr>
  </property>
  <property fmtid="{D5CDD505-2E9C-101B-9397-08002B2CF9AE}" pid="3" name="MSIP_Label_fbfc5642-2d7f-4e68-9674-ab3e35a89b06_SetDate">
    <vt:lpwstr>2026-01-21T10:13:23Z</vt:lpwstr>
  </property>
  <property fmtid="{D5CDD505-2E9C-101B-9397-08002B2CF9AE}" pid="4" name="MSIP_Label_fbfc5642-2d7f-4e68-9674-ab3e35a89b06_Method">
    <vt:lpwstr>Standard</vt:lpwstr>
  </property>
  <property fmtid="{D5CDD505-2E9C-101B-9397-08002B2CF9AE}" pid="5" name="MSIP_Label_fbfc5642-2d7f-4e68-9674-ab3e35a89b06_Name">
    <vt:lpwstr>label-2-default</vt:lpwstr>
  </property>
  <property fmtid="{D5CDD505-2E9C-101B-9397-08002B2CF9AE}" pid="6" name="MSIP_Label_fbfc5642-2d7f-4e68-9674-ab3e35a89b06_SiteId">
    <vt:lpwstr>70ee0a01-45f2-4b86-aa78-73100089c50c</vt:lpwstr>
  </property>
  <property fmtid="{D5CDD505-2E9C-101B-9397-08002B2CF9AE}" pid="7" name="MSIP_Label_fbfc5642-2d7f-4e68-9674-ab3e35a89b06_ActionId">
    <vt:lpwstr>68d550d8-884d-4e58-b5f0-6338fc89c735</vt:lpwstr>
  </property>
  <property fmtid="{D5CDD505-2E9C-101B-9397-08002B2CF9AE}" pid="8" name="MSIP_Label_fbfc5642-2d7f-4e68-9674-ab3e35a89b06_ContentBits">
    <vt:lpwstr>0</vt:lpwstr>
  </property>
  <property fmtid="{D5CDD505-2E9C-101B-9397-08002B2CF9AE}" pid="9" name="MSIP_Label_fbfc5642-2d7f-4e68-9674-ab3e35a89b06_Tag">
    <vt:lpwstr>10, 3, 0, 1</vt:lpwstr>
  </property>
  <property fmtid="{D5CDD505-2E9C-101B-9397-08002B2CF9AE}" pid="10" name="ContentTypeId">
    <vt:lpwstr>0x01010095A83D2D9087C0499BBDDADFE9564913</vt:lpwstr>
  </property>
</Properties>
</file>